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sandag.sharepoint.com/sites/TransNetProjectOffice/Shared Documents/TransNet Dashboard/"/>
    </mc:Choice>
  </mc:AlternateContent>
  <xr:revisionPtr revIDLastSave="24" documentId="8_{D474D891-A872-4F1A-A3EC-D0CA14616A35}" xr6:coauthVersionLast="47" xr6:coauthVersionMax="47" xr10:uidLastSave="{DB756776-5D9C-4C65-8C7E-DA6433146550}"/>
  <bookViews>
    <workbookView xWindow="-120" yWindow="-120" windowWidth="29040" windowHeight="17640" tabRatio="595" xr2:uid="{00000000-000D-0000-FFFF-FFFF00000000}"/>
  </bookViews>
  <sheets>
    <sheet name="Crosswalk_June 2024" sheetId="4" r:id="rId1"/>
  </sheets>
  <definedNames>
    <definedName name="_xlnm._FilterDatabase" localSheetId="0" hidden="1">'Crosswalk_June 2024'!$G$9:$O$77</definedName>
    <definedName name="_xlnm.Print_Area" localSheetId="0">'Crosswalk_June 2024'!$A$1:$O$629</definedName>
    <definedName name="_xlnm.Print_Titles" localSheetId="0">'Crosswalk_June 2024'!$9:$9</definedName>
  </definedNames>
  <calcPr calcId="191028"/>
  <customWorkbookViews>
    <customWorkbookView name="Active Projects" guid="{5F01D5A7-ED16-4546-83CF-EE3A2DD029AD}"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9" i="4" l="1"/>
  <c r="G191" i="4"/>
  <c r="G179" i="4"/>
  <c r="G172" i="4"/>
  <c r="G175" i="4"/>
  <c r="G151" i="4"/>
  <c r="G117" i="4"/>
  <c r="G108" i="4"/>
  <c r="G90" i="4"/>
  <c r="G84" i="4"/>
  <c r="G69" i="4"/>
  <c r="G61" i="4"/>
  <c r="G54" i="4"/>
  <c r="G45" i="4"/>
  <c r="G47" i="4"/>
  <c r="G31" i="4"/>
  <c r="G17" i="4"/>
  <c r="G211" i="4"/>
  <c r="G184" i="4"/>
  <c r="G182" i="4"/>
  <c r="K98" i="4"/>
  <c r="G98" i="4"/>
  <c r="G158" i="4"/>
  <c r="G144" i="4"/>
  <c r="G143" i="4"/>
  <c r="G141" i="4"/>
  <c r="G140" i="4"/>
  <c r="K112" i="4"/>
  <c r="G105" i="4"/>
  <c r="G78" i="4"/>
  <c r="G73" i="4"/>
  <c r="G72" i="4" s="1"/>
  <c r="G23" i="4"/>
  <c r="G22" i="4" s="1"/>
  <c r="G10" i="4"/>
  <c r="K214" i="4"/>
  <c r="K169" i="4"/>
  <c r="K167" i="4"/>
  <c r="K96" i="4"/>
  <c r="K94" i="4"/>
  <c r="K91" i="4"/>
  <c r="K59" i="4"/>
  <c r="K204" i="4"/>
  <c r="K209" i="4"/>
  <c r="K213" i="4"/>
  <c r="K208" i="4"/>
  <c r="J206" i="4"/>
  <c r="K206" i="4" s="1"/>
  <c r="J211" i="4"/>
  <c r="K211" i="4" s="1"/>
  <c r="K210" i="4"/>
  <c r="J207" i="4"/>
  <c r="K207" i="4" s="1"/>
  <c r="K205" i="4"/>
  <c r="K203" i="4"/>
  <c r="K201" i="4"/>
  <c r="K202" i="4"/>
  <c r="K200" i="4"/>
  <c r="J197" i="4"/>
  <c r="K197" i="4" s="1"/>
  <c r="J196" i="4"/>
  <c r="K196" i="4" s="1"/>
  <c r="K193" i="4"/>
  <c r="K192" i="4"/>
  <c r="G192" i="4"/>
  <c r="J189" i="4"/>
  <c r="K189" i="4" s="1"/>
  <c r="J190" i="4"/>
  <c r="K190" i="4" s="1"/>
  <c r="K186" i="4"/>
  <c r="K185" i="4"/>
  <c r="K177" i="4" l="1"/>
  <c r="K175" i="4"/>
  <c r="J174" i="4"/>
  <c r="K174" i="4" s="1"/>
  <c r="J180" i="4"/>
  <c r="K180" i="4" s="1"/>
  <c r="K182" i="4"/>
  <c r="K183" i="4"/>
  <c r="G183" i="4"/>
  <c r="K181" i="4"/>
  <c r="J173" i="4"/>
  <c r="K173" i="4" s="1"/>
  <c r="G170" i="4"/>
  <c r="G164" i="4" s="1"/>
  <c r="J170" i="4"/>
  <c r="K170" i="4" s="1"/>
  <c r="K166" i="4"/>
  <c r="K168" i="4"/>
  <c r="K165" i="4"/>
  <c r="K162" i="4"/>
  <c r="K158" i="4"/>
  <c r="K159" i="4"/>
  <c r="G157" i="4"/>
  <c r="J156" i="4"/>
  <c r="K156" i="4" s="1"/>
  <c r="K153" i="4"/>
  <c r="K152" i="4"/>
  <c r="K154" i="4"/>
  <c r="G154" i="4"/>
  <c r="G149" i="4"/>
  <c r="K148" i="4"/>
  <c r="J136" i="4"/>
  <c r="K136" i="4" s="1"/>
  <c r="G146" i="4"/>
  <c r="G128" i="4" s="1"/>
  <c r="K142" i="4"/>
  <c r="K150" i="4"/>
  <c r="K138" i="4"/>
  <c r="K149" i="4"/>
  <c r="K147" i="4"/>
  <c r="K137" i="4"/>
  <c r="K145" i="4"/>
  <c r="K135" i="4"/>
  <c r="K146" i="4"/>
  <c r="K134" i="4"/>
  <c r="K140" i="4"/>
  <c r="K141" i="4"/>
  <c r="K143" i="4"/>
  <c r="K144" i="4"/>
  <c r="K139" i="4"/>
  <c r="J133" i="4"/>
  <c r="K133" i="4" s="1"/>
  <c r="K132" i="4"/>
  <c r="K131" i="4"/>
  <c r="K130" i="4"/>
  <c r="K129" i="4"/>
  <c r="G125" i="4"/>
  <c r="K126" i="4" l="1"/>
  <c r="K127" i="4"/>
  <c r="K123" i="4"/>
  <c r="K124" i="4"/>
  <c r="G122" i="4"/>
  <c r="K120" i="4"/>
  <c r="K119" i="4"/>
  <c r="K118" i="4"/>
  <c r="G116" i="4"/>
  <c r="K116" i="4"/>
  <c r="K115" i="4"/>
  <c r="K114" i="4"/>
  <c r="K113" i="4"/>
  <c r="K110" i="4"/>
  <c r="K109" i="4"/>
  <c r="K104" i="4"/>
  <c r="K102" i="4"/>
  <c r="J101" i="4"/>
  <c r="K101" i="4" s="1"/>
  <c r="K99" i="4"/>
  <c r="G99" i="4"/>
  <c r="K95" i="4"/>
  <c r="K97" i="4"/>
  <c r="K92" i="4"/>
  <c r="K93" i="4"/>
  <c r="J88" i="4"/>
  <c r="K88" i="4" s="1"/>
  <c r="J87" i="4"/>
  <c r="K87" i="4" s="1"/>
  <c r="J86" i="4"/>
  <c r="K86" i="4" s="1"/>
  <c r="K85" i="4"/>
  <c r="K80" i="4"/>
  <c r="K79" i="4"/>
  <c r="K81" i="4"/>
  <c r="K82" i="4"/>
  <c r="K70" i="4"/>
  <c r="J68" i="4"/>
  <c r="K68" i="4" s="1"/>
  <c r="K67" i="4"/>
  <c r="J66" i="4"/>
  <c r="K66" i="4" s="1"/>
  <c r="K65" i="4"/>
  <c r="G63" i="4"/>
  <c r="K63" i="4"/>
  <c r="K62" i="4"/>
  <c r="G60" i="4" l="1"/>
  <c r="G58" i="4"/>
  <c r="K58" i="4"/>
  <c r="K56" i="4"/>
  <c r="J57" i="4"/>
  <c r="K57" i="4" s="1"/>
  <c r="K55" i="4"/>
  <c r="K51" i="4"/>
  <c r="J50" i="4"/>
  <c r="K50" i="4" s="1"/>
  <c r="K47" i="4"/>
  <c r="J46" i="4"/>
  <c r="K46" i="4" s="1"/>
  <c r="K44" i="4"/>
  <c r="K43" i="4"/>
  <c r="K35" i="4"/>
  <c r="J34" i="4"/>
  <c r="K34" i="4" s="1"/>
  <c r="J32" i="4"/>
  <c r="K32" i="4" s="1"/>
  <c r="K41" i="4" l="1"/>
  <c r="K40" i="4"/>
  <c r="K39" i="4"/>
  <c r="K38" i="4"/>
  <c r="K36" i="4"/>
  <c r="K33" i="4"/>
  <c r="G40" i="4"/>
  <c r="K29" i="4"/>
  <c r="K26" i="4"/>
  <c r="G28" i="4"/>
  <c r="K23" i="4"/>
  <c r="G25" i="4"/>
  <c r="K19" i="4"/>
  <c r="K18" i="4"/>
  <c r="K16" i="4"/>
  <c r="K12" i="4" l="1"/>
  <c r="J11" i="4"/>
  <c r="K11" i="4" s="1"/>
  <c r="K37" i="4" l="1"/>
  <c r="H100" i="4"/>
  <c r="H31" i="4"/>
  <c r="K13" i="4"/>
  <c r="H128" i="4"/>
  <c r="H74" i="4"/>
  <c r="H42" i="4"/>
  <c r="K15" i="4" l="1"/>
  <c r="K111" i="4" l="1"/>
  <c r="A49" i="4" l="1"/>
  <c r="A54" i="4" s="1"/>
  <c r="A61" i="4" s="1"/>
  <c r="A64" i="4" s="1"/>
  <c r="A72" i="4" s="1"/>
  <c r="A74" i="4" s="1"/>
  <c r="A75" i="4" s="1"/>
  <c r="A76" i="4" s="1"/>
  <c r="A77" i="4" s="1"/>
  <c r="A78" i="4" s="1"/>
  <c r="A84" i="4" s="1"/>
  <c r="A90" i="4" s="1"/>
  <c r="A100" i="4" s="1"/>
  <c r="A108" i="4" s="1"/>
  <c r="A117" i="4" s="1"/>
  <c r="A121" i="4" s="1"/>
  <c r="A122" i="4" s="1"/>
  <c r="A125" i="4" s="1"/>
  <c r="A128" i="4" s="1"/>
  <c r="A151" i="4" s="1"/>
  <c r="A155" i="4" s="1"/>
  <c r="A157" i="4" s="1"/>
  <c r="A160" i="4" s="1"/>
  <c r="A161" i="4" s="1"/>
  <c r="A164" i="4" s="1"/>
  <c r="A171" i="4" s="1"/>
  <c r="A172" i="4" s="1"/>
  <c r="A176" i="4" s="1"/>
  <c r="A179" i="4" s="1"/>
  <c r="A184" i="4" s="1"/>
  <c r="A188" i="4" s="1"/>
  <c r="A191" i="4" s="1"/>
  <c r="A195" i="4" s="1"/>
</calcChain>
</file>

<file path=xl/sharedStrings.xml><?xml version="1.0" encoding="utf-8"?>
<sst xmlns="http://schemas.openxmlformats.org/spreadsheetml/2006/main" count="1334" uniqueCount="789">
  <si>
    <t>-</t>
  </si>
  <si>
    <t>Oridnance No.</t>
  </si>
  <si>
    <t xml:space="preserve">CIP No. </t>
  </si>
  <si>
    <t>Limits</t>
  </si>
  <si>
    <t>Initial TransNet Cost ($2002)</t>
  </si>
  <si>
    <t>SR 163 - SR 56</t>
  </si>
  <si>
    <t>N/A</t>
  </si>
  <si>
    <t xml:space="preserve">I-15 Express Lanes South Segment </t>
  </si>
  <si>
    <t>I-15 from SR 163 to SR 56.</t>
  </si>
  <si>
    <t xml:space="preserve">I-15 Express Lanes Middle Segment  </t>
  </si>
  <si>
    <t xml:space="preserve">On I-15 from SR 56 to Centre City Parkway.  </t>
  </si>
  <si>
    <t xml:space="preserve">I-15 FasTrak® </t>
  </si>
  <si>
    <t>I-15 between SR 163 and SR 78.</t>
  </si>
  <si>
    <t>Deploy electronic tolling equipment, operating system, and construct toll operations office and customer service center.</t>
  </si>
  <si>
    <t xml:space="preserve">I-15 Express Lanes – Forrester Creek Improvements </t>
  </si>
  <si>
    <t>Centre City Parkway - SR 78</t>
  </si>
  <si>
    <t>I-15 - SR 78</t>
  </si>
  <si>
    <t>I-15 - SR 94</t>
  </si>
  <si>
    <t>I-5 - I-15</t>
  </si>
  <si>
    <t>Project Name</t>
  </si>
  <si>
    <t>CC110</t>
  </si>
  <si>
    <t>I-15 Express North Segment</t>
  </si>
  <si>
    <t>I-805/SR 15 Interchange</t>
  </si>
  <si>
    <t>CMCP - High Speed Transit/I-15</t>
  </si>
  <si>
    <t>I-15/ SR 78 HOV Connectors</t>
  </si>
  <si>
    <t>SR 94 Express Lanes I-805 to Downtown</t>
  </si>
  <si>
    <t>I-805 HOV/Carroll Canyon DAR</t>
  </si>
  <si>
    <t>I-805 Auxiliary Lanes</t>
  </si>
  <si>
    <t>I-805 Imperial BRT Station</t>
  </si>
  <si>
    <t>I-15 BRT Stations: Rancho Bernardo, Sabre Springs, and Del Lago</t>
  </si>
  <si>
    <t>I-15 Mira Mesa Direct Access Ramp - Bus Rapid Transit Station</t>
  </si>
  <si>
    <t>I-15 Bus Rapid Transit</t>
  </si>
  <si>
    <t>Downtown BRT Stations</t>
  </si>
  <si>
    <t>I-15 BRT Sabre Springs Parking Structure</t>
  </si>
  <si>
    <t>Downtown Multiuse and Bus Stopover Facility</t>
  </si>
  <si>
    <t>Clairemont Mesa Blvd BRT Stations</t>
  </si>
  <si>
    <t>I-15 BRT Station Enhancements</t>
  </si>
  <si>
    <t>I-15 Mira Mesa Transit Station Parking Structure</t>
  </si>
  <si>
    <t>I-15 Transit Priority Lanes and Direct Access Ramp at Clairemont Mesa Blvd.</t>
  </si>
  <si>
    <t>Mira Mesa Blvd BRT Priority Treatments</t>
  </si>
  <si>
    <t>SR 905 - SR 54</t>
  </si>
  <si>
    <t>I-805 South 4 Express Lanes</t>
  </si>
  <si>
    <t>I-805 South Soundwalls</t>
  </si>
  <si>
    <t>SR 54 - I-8</t>
  </si>
  <si>
    <t>I-805 South: HOV Conversion to Express Lanes (Palomar to SR94)</t>
  </si>
  <si>
    <t>Mission Valley Viaduct</t>
  </si>
  <si>
    <t>I-8 - I-5</t>
  </si>
  <si>
    <t>I-805 North 4 Express Lanes</t>
  </si>
  <si>
    <t>I-805 North:  2 HOV Lanes</t>
  </si>
  <si>
    <t>I-805 North Auxiliary Lanes</t>
  </si>
  <si>
    <t>I-805 Transit Priority Lanes (SR 15 to SR 52)</t>
  </si>
  <si>
    <t>I-805 and SR 54 Interchange</t>
  </si>
  <si>
    <t xml:space="preserve"> I-805/SR 94/SR 15 Transit Connection</t>
  </si>
  <si>
    <t>South Bay BRT Maintenance Facility</t>
  </si>
  <si>
    <t>South Bay BRT</t>
  </si>
  <si>
    <t>CMCP - South Bay to Sorrento Corridor</t>
  </si>
  <si>
    <t xml:space="preserve">VAA/Bus on Shoulder </t>
  </si>
  <si>
    <t>I-805/SR 94 Bus on Shoulder Demonstration Project</t>
  </si>
  <si>
    <t>I-805 - I-15</t>
  </si>
  <si>
    <t>SR 94 Transit Priority Lanes (I-5 to I-805)</t>
  </si>
  <si>
    <t>CC033</t>
  </si>
  <si>
    <t>I-15 - I-805</t>
  </si>
  <si>
    <t>I-805 - SR 52</t>
  </si>
  <si>
    <t>SR 94 - SR 163</t>
  </si>
  <si>
    <t>I-8 - I-805</t>
  </si>
  <si>
    <t>CMCP - Central Mobility Hub - Notice of Preparation/P3 Procurement</t>
  </si>
  <si>
    <t>CMCP – Central Mobility Connections</t>
  </si>
  <si>
    <t>CMCP - Central Mobility Hub: Military Installation Resilience  (OEA Grant)</t>
  </si>
  <si>
    <t>CMCP - Central Mobility Hub: Military Installation Resilience  (OEA Grant) - Phase 2</t>
  </si>
  <si>
    <t>I-5/I-8 West to North Connector Improvements</t>
  </si>
  <si>
    <t>I-5/Genesee Interchange and Widening</t>
  </si>
  <si>
    <t>I-5/Voigt Drive Improvements</t>
  </si>
  <si>
    <t>I-5/Gilman Drive Bridge</t>
  </si>
  <si>
    <t>CC002</t>
  </si>
  <si>
    <t>Final closeout, but open to traffic</t>
  </si>
  <si>
    <t>ENV</t>
  </si>
  <si>
    <t>15-30</t>
  </si>
  <si>
    <t>Design</t>
  </si>
  <si>
    <t>0-30</t>
  </si>
  <si>
    <t>I-5/I-805 Merge</t>
  </si>
  <si>
    <t>SR 56 - Leucadia Blvd.</t>
  </si>
  <si>
    <t>Leucadia Blvd. - Vandegrift Blvd</t>
  </si>
  <si>
    <t>Scope/Improvement</t>
  </si>
  <si>
    <t>I-5 North Coast: 4 Express Lanes</t>
  </si>
  <si>
    <t>I-5 HOV Extension &amp; Lomas Santa Fe Interchange</t>
  </si>
  <si>
    <t>I-5 HOV: San Elijo Bridge Replacement</t>
  </si>
  <si>
    <t>I-5 HOV: Carlsbad</t>
  </si>
  <si>
    <t>I-5 Ramp Meters</t>
  </si>
  <si>
    <t>I-5/Genesee Auxiliary Lane</t>
  </si>
  <si>
    <t>I-5 HOV Conversion to Express Lanes</t>
  </si>
  <si>
    <t>I-805 HOV Conversion to Express Lanes</t>
  </si>
  <si>
    <t>I-5 HOV: Manchester Avenue to Palomar Airport Drive</t>
  </si>
  <si>
    <t>I-5 HOV Lanes: Oceanside</t>
  </si>
  <si>
    <t>I-5/SR 56 Interchange</t>
  </si>
  <si>
    <t>Sorrento to Miramar Phase 1</t>
  </si>
  <si>
    <t>Oceanside Station Pass-Through Track</t>
  </si>
  <si>
    <t>Carlsbad Double Track</t>
  </si>
  <si>
    <t>Poinsettia Station Improvements</t>
  </si>
  <si>
    <t>San Elijo Lagoon Double Track</t>
  </si>
  <si>
    <t>Sorrento Valley Double Track</t>
  </si>
  <si>
    <t>Tecolote to Washington Crossovers</t>
  </si>
  <si>
    <t>Eastbrook to Shell Double Track</t>
  </si>
  <si>
    <t>Carlsbad Village Double Track</t>
  </si>
  <si>
    <t>Elvira to Morena Double Track</t>
  </si>
  <si>
    <t>Sorrento to Miramar Phase 2</t>
  </si>
  <si>
    <t>San Dieguito Lagoon Double Track and Platform</t>
  </si>
  <si>
    <t xml:space="preserve">LOSSAN Rail Corridor Preliminary Engineering </t>
  </si>
  <si>
    <t>San Diego River Bridge</t>
  </si>
  <si>
    <t>Batiquitos Lagoon Double Track</t>
  </si>
  <si>
    <t>Chesterfield Drive Crossing Improvements</t>
  </si>
  <si>
    <t>Carlsbad Village Double Track Trench</t>
  </si>
  <si>
    <t xml:space="preserve">COASTER Train Sets </t>
  </si>
  <si>
    <t>LOSSAN Corridor Improvements</t>
  </si>
  <si>
    <t>San Dieguito Lagoon Double Track Phase 1 Construction</t>
  </si>
  <si>
    <t>San Dieguito to Sorrento Valley Double-Track</t>
  </si>
  <si>
    <t>San Dieguito Lagoon Double-Track Phase 2 Construction</t>
  </si>
  <si>
    <t>On I-5 from La Jolla Village Drive to Vandegrift Boulevard.</t>
  </si>
  <si>
    <t>Improvements updated from 4ML to 2ML due to updated state legislation and impact on ENV.</t>
  </si>
  <si>
    <t>Sorrento Valley Blvd. to Manchester Ave.</t>
  </si>
  <si>
    <t>Install ramp meters.</t>
  </si>
  <si>
    <t>Design and construction of southbound auxiliary lane on I-5 between Genesee Avenue and La Jolla Village Drive.</t>
  </si>
  <si>
    <t>Blue Line Crossovers and Signals</t>
  </si>
  <si>
    <t>Blue Line Station Rehab</t>
  </si>
  <si>
    <t>Orange and Blue Line Communications System</t>
  </si>
  <si>
    <t>Low Floor LRT Vehicles</t>
  </si>
  <si>
    <t>Palomar Street Rail Grade Separation</t>
  </si>
  <si>
    <t>Mid-Coast Light Rail Transit (LRT)</t>
  </si>
  <si>
    <t>SuperLoop</t>
  </si>
  <si>
    <t>Along the I-15 corridor from SR 76 to I-805.</t>
  </si>
  <si>
    <t>Construct four express lanes, fixed median barrier, and direct access ramps at Hale Avenue on I-15</t>
  </si>
  <si>
    <t>On SR 78 and I-15 from Twin Oaks Valley Road to West Valley Parkway</t>
  </si>
  <si>
    <t>Final environmental document and design for HOV/ML direct connectors at SR 78 and I-15 for northbound-to-westbound and eastbound-to-southbound traffic and managed lanes between the connector and Twin Oaks Valley Road.</t>
  </si>
  <si>
    <t>30-60</t>
  </si>
  <si>
    <t>60-90</t>
  </si>
  <si>
    <t>90-100</t>
  </si>
  <si>
    <t>Early CON</t>
  </si>
  <si>
    <t>Late CON</t>
  </si>
  <si>
    <t xml:space="preserve">Percentages applied to CIPs </t>
  </si>
  <si>
    <t>Explanation if original Pledge was not met</t>
  </si>
  <si>
    <t>2021 RP Scope</t>
  </si>
  <si>
    <t>Percentage of Ordinance is weighted average of all CIPs related to Ordinance No.</t>
  </si>
  <si>
    <t>Open to Traffic</t>
  </si>
  <si>
    <t>Y - green flag/check</t>
  </si>
  <si>
    <t>If not complete then %</t>
  </si>
  <si>
    <t>2021 Plan ID No.</t>
  </si>
  <si>
    <t>Do we want to make a recommendation for a TransNet Ordinance Amendment?</t>
  </si>
  <si>
    <t xml:space="preserve">New and modified transit stops at Park Boulevard, 11th Avenue, India Street, and Kettner Boulevard. </t>
  </si>
  <si>
    <t>The block bounded by A Street, B Street, State Street, and Union Street in the Columbia-Civic/Core neighborhood of Downtown San Diego.</t>
  </si>
  <si>
    <t>Preliminary engineering, design, and right-of-way activities for a bus stopover facility and potentially a multiuse facility that could include office, residential, and retail development.</t>
  </si>
  <si>
    <t>Along I-805 from Palomar Street to SR 54.</t>
  </si>
  <si>
    <t>Construct soundwalls (Units 1 and 2) and Sweetwater River Bridge improvements.</t>
  </si>
  <si>
    <t>On I-805 from Palomar Street to SR 94.</t>
  </si>
  <si>
    <t>Along the I-15 from I-8 to SR-163.</t>
  </si>
  <si>
    <t>From East Palomar Street, on the south, to SR 94, on the north.</t>
  </si>
  <si>
    <t xml:space="preserve">Design for the conversion of 11 miles of existing carpool lanes to express managed lanes. </t>
  </si>
  <si>
    <t xml:space="preserve">On I-805 from Carroll Canyon Road to I-5 in Sorrento Valley.  </t>
  </si>
  <si>
    <t>On I-805 from SR 52 to Carroll Canyon Road.</t>
  </si>
  <si>
    <t>Along I-805 from SR 52 to Nobel Drive.</t>
  </si>
  <si>
    <t>Design and construct one northbound and one southbound auxiliary lane.</t>
  </si>
  <si>
    <t>On I-805 from SR-15 to SR 52.</t>
  </si>
  <si>
    <t>Final environmental document for two additional transit priority lanes between SR-15 and SR-52 and restripe of the viaduct over Mission Valley.</t>
  </si>
  <si>
    <t>On I-805 from SR 94 to SR 15</t>
  </si>
  <si>
    <t>On I-5 from Voigt Drive to Sorrento Valley Road.</t>
  </si>
  <si>
    <t xml:space="preserve">Construct longer and wider bridge and replace ramp connections on Genesee Avenue, construct retaining walls and a bike path between Voigt Drive and Sorrento Valley Road, and complete the follow-up landscaping project. </t>
  </si>
  <si>
    <t>On I-5 at the Voigt Drive overcrossing from Gilman Drive on the west side to Genesee Avenue on the east side.</t>
  </si>
  <si>
    <t>Construction of the realignment of both Campus Point and Voigt Drive between I-5 and Genesee Avenue.</t>
  </si>
  <si>
    <t>On I-5 between La Jolla Village Drive and the Voigt Drive overcrossing.</t>
  </si>
  <si>
    <t>Construct new overcrossing over I-5 between Gilman Drive and Medical Center Drive.</t>
  </si>
  <si>
    <t>Palomar Street and Industrial Boulevard in the City of Chula Vista.</t>
  </si>
  <si>
    <t>On and along existing coastal rail corridor from Old Town Transit Center to Gilman Drive, along I-5 from Gilman Drive to UC San Diego, and along Voigt Drive and Genesee Avenue to UTC.</t>
  </si>
  <si>
    <t>A new 10.9-mile extension of the Trolley Blue Line with stations at Tecolote Road, Clairemont Drive, Balboa Avenue, Nobel Drive, Veterans Administration Medical Center, Pepper Canyon and Voigt Drive on the UC San Diego campus, Executive Drive, and University Towne Center (UTC).</t>
  </si>
  <si>
    <t>At I-5 and SR 56 interchange.</t>
  </si>
  <si>
    <t>On coastal rail corridor at Poinsettia Station.</t>
  </si>
  <si>
    <t>On coastal rail corridor in Cardiff and across San Elijo Lagoon from Mile Post (MP) 239.2 near Montgomery Avenue to MP 241.3 in Solana Beach.</t>
  </si>
  <si>
    <t>Install 1.5 miles of new double track, replace Bridge 240.4, reconfigure Control Point Cardiff with double crossovers, install new signals and drainage structures.</t>
  </si>
  <si>
    <t>On the LOSSAN Rail Corridor from Mile Post (MP) 228.4 near Kelly Street to MP 229.5 near Carlsbad Boulevard across Buena Vista Lagoon and near Carlsbad Village Station</t>
  </si>
  <si>
    <t xml:space="preserve">Prepare final environmental document and 30% design for 1.0 miles of double-track, a new bridge across Buena Vista Lagoon, and new signals. </t>
  </si>
  <si>
    <t>On the LOSSAN Rail Corridor from mile post (MP) 251 near I-805 to MP 253 near Miramar Road.</t>
  </si>
  <si>
    <t>Final environmental, design and right-of-way activities for 1.9 miles of double-track, curve straightening and new signals.</t>
  </si>
  <si>
    <t>On the LOSSAN Rail Corridor from the City of Solana Beach Mile Post (MP) 242.2 to south of MP 243.9 in the City of Del Mar</t>
  </si>
  <si>
    <t>On the LOSSAN Rail Corridor from Santa Fe Depot to Stuart Mesa Maintenance Facility.</t>
  </si>
  <si>
    <t>Conduct preliminary engineering for prioritization of LOSSAN Rail Corridor improvement projects. Preparation of Project Study Reports (PSRs), design criteria, standard plans and funding applications to better define future projects.</t>
  </si>
  <si>
    <t>Construct 0.8 miles of double-track and a new bridge over Batiquitos Lagoon.</t>
  </si>
  <si>
    <t>On coastal rail corridor in south Oceanside and Carlsbad, from Mile Post (MP) 228.0 to MP 230.6, through Carlsbad's downtown village area.</t>
  </si>
  <si>
    <t>Preliminary engineering and environmental clearance for a double track railroad trench, 1.1 miles of second main track, and replacement of railroad lagoon Bridge 228.6.</t>
  </si>
  <si>
    <t>Along the COASTER corridor.</t>
  </si>
  <si>
    <t>Two additional train sets to provide more frequent commuter rail service, including 30-minute peak period service, along the COASTER corridor.</t>
  </si>
  <si>
    <t>Area bound by Rosecrans Street, I-5, Grape Street, and Harbor Drive.</t>
  </si>
  <si>
    <t>Notice of Preparation (NOP), preliminary project alternatives development, and Public-Private Partnership (P3) procurement for Central Mobility Hub, Automated People Mover, roadway/freeway modifications, and supportive multi-use development.</t>
  </si>
  <si>
    <t>Central Mobility Station/I-5/Coronado Connection &amp; Downtown Connection.</t>
  </si>
  <si>
    <t>Oversight of utilization of data in transportation planning and development of innovative transportation solutions to transform the way people and goods move in the area of San Diego International Airport and the surrounding communities, including the proposed development of a Central Mobility Hub and Connections CMCP. In addition, this project will analyze the feasibility of new rail grade separations along the railway corridor between Old Town and Downtown.</t>
  </si>
  <si>
    <t>On SR 94 from I-5 to I- 805.</t>
  </si>
  <si>
    <t>Environmental studies for two transit priority lanes and/or a transit priority connector along SR 94 from I-805 to I-5.</t>
  </si>
  <si>
    <t>In Chula Vista, on East Palomar Street between Heritage Road and I-805. On I-805 between East Palomar Street and SR 94. On SR 94 between I-805 and Downtown San Diego.</t>
  </si>
  <si>
    <t>Design and construct new freeway shoulder infrastructure on East Palomar, I-805 and SR 94. Implement technology improvements within the corridor to support Rapid operation. Procurement of 16 new compressed natural gas buses.</t>
  </si>
  <si>
    <t>From the Otay Mesa Border Crossing to Downtown San Diego along SR 125, Palomar Street, I-805, and SR 94.</t>
  </si>
  <si>
    <t>Develop new Rapid transit service from the I-805/Palomar Direct Access Ramp to the Otay Mesa Border, including the construction of a guideway on East Palomar over SR 125, around Otay Ranch Town Center Mall and through the Millenia development. Construct seven new Rapid stations.</t>
  </si>
  <si>
    <t>Construct 0.9 miles of double-track and a new bridge.</t>
  </si>
  <si>
    <t>Includes preliminary engineering, Project Study Reports (PSRs), design criteria and funding applications for complete corridor projects.</t>
  </si>
  <si>
    <t>CC073</t>
  </si>
  <si>
    <t>I-15: SR 163 to SR 56</t>
  </si>
  <si>
    <t>Add 4 managed lanes on the I-15 from SR 163 to SR 56.</t>
  </si>
  <si>
    <t>I-15: Centre City Pkwy to SR 78</t>
  </si>
  <si>
    <t>Add 4 managed lanes on the I-15 from SR 78 to Centre City Parkway in Escondido.</t>
  </si>
  <si>
    <t>I-15: SR 94 to SR 163</t>
  </si>
  <si>
    <t>HOV Connector: I-15 / SR 78</t>
  </si>
  <si>
    <t>HOV Connector: I-15 / SR 94</t>
  </si>
  <si>
    <t>SR 94: I-5 to I-15</t>
  </si>
  <si>
    <t>Add two HOV lanes on SR 94 from I-5 to I-15.</t>
  </si>
  <si>
    <t>BRT Route 610: via I-15 / SR 94 (Now Route 235)</t>
  </si>
  <si>
    <t>Escondido Transit Center</t>
  </si>
  <si>
    <t>Building and upgrading 6 Bus Rapid Transit stations, upgrades to downtown stations, building Direct Access Ramps in 4 locations, and implementing 10 minute peak service by 2010 and 15 minute off-peak service by 2030.</t>
  </si>
  <si>
    <t>I-15/ SR 94</t>
  </si>
  <si>
    <t>BRT Route 470: via I-15 / Mira Mesa Blvd (Now Route 237)</t>
  </si>
  <si>
    <t>Adding a new bus rapid transit route from Escondido to Sorrento Mesa using Route 610 stations and direct access ramps. Adding 15 min peak service from Escondido by 2016.</t>
  </si>
  <si>
    <t>I-805: SR 905 to SR 54</t>
  </si>
  <si>
    <t>I-805: SR 54 to I-8</t>
  </si>
  <si>
    <t>Adding 4 managed lanes on the I-805 from SR 54 to I-8.</t>
  </si>
  <si>
    <t>I-805: Mission Valley Viaduct</t>
  </si>
  <si>
    <t>Adding 4 managed lanes on the I-805 near the Mission Valley Viaduct.</t>
  </si>
  <si>
    <t>I-805: I-8 to I-5</t>
  </si>
  <si>
    <t>Adding 4 managed lanes on the I-805 from I-8 to I-5.</t>
  </si>
  <si>
    <t>I-805 / SR 54 Interchange Improvements</t>
  </si>
  <si>
    <t>Various improvements at the I-805/SR 54 interchange.</t>
  </si>
  <si>
    <t>BRT Route 628: via I-805 / I-15 / SR 94 (Now known as South Bay Rapid)</t>
  </si>
  <si>
    <t>Building 13 stations and Direct Access Ramps in 4 locations. Adding 15 min peak / 30 min off-peak service by 2010 and 10 min peak / 15 min off-peak service by 2020.</t>
  </si>
  <si>
    <t>I-805 / I-15 / SR 94</t>
  </si>
  <si>
    <t>SR 94: I-805 to I-15</t>
  </si>
  <si>
    <t>Add 2 HOV lanes on SR 94 from I-805 to I-15.</t>
  </si>
  <si>
    <t>BRT Route 680: via I-805 / I-15 / SR 52</t>
  </si>
  <si>
    <t>Build 1 new station using Direct Access Ramps and stations built by routes 610 and 628. Also, adding 15 min peak service by 2015 and 10 min peak service by 2030.</t>
  </si>
  <si>
    <t>I-805 / I-15 / SR 52</t>
  </si>
  <si>
    <t>SR 52: I-15 to I-805</t>
  </si>
  <si>
    <t>HOV Connector: I-805 / SR 52 Interchange</t>
  </si>
  <si>
    <t>I-5: SR 905 to SR 54</t>
  </si>
  <si>
    <t>I-5: SR 54 to I-8</t>
  </si>
  <si>
    <t>I-5: I-8 to I-805</t>
  </si>
  <si>
    <t>Route 500 (Blue Line Trolley) Improvements</t>
  </si>
  <si>
    <t>Conversion to low-floor vehicles, enhanced stations, signal upgrades, extended platforms, and grade separations in Chula Vista. Also, 7.5 min peak / 7.5 min off-peak service by 2020.</t>
  </si>
  <si>
    <t>Route 570 (Mid Coast)</t>
  </si>
  <si>
    <t>Extension of light rail transit from Old Town Transit Center to UTC via I-5 and UCSD. 15-minute all day service by 2020.</t>
  </si>
  <si>
    <t>Route 634 (SuperLoop) (Now known as Routes 201, 202, and 204)</t>
  </si>
  <si>
    <t>Signal priority, queue jumper lanes, other arterial improvements, vehicles, and stations. 10 minute all day service by 2010.</t>
  </si>
  <si>
    <t>Old Town Transit Center to UTC</t>
  </si>
  <si>
    <t>University City</t>
  </si>
  <si>
    <t>I-5 / I-805 Merge</t>
  </si>
  <si>
    <t>Add 4 managed lanes at the I-5/ I-805 merge.</t>
  </si>
  <si>
    <t>I-5: SR 56 to Leucadia Blvd</t>
  </si>
  <si>
    <t>Add 4 managed lanes on the I-5 from SR 56 to Leucadia Boulevard.</t>
  </si>
  <si>
    <t>I-5: Leucadia Blvd to Vandegrift Blvd</t>
  </si>
  <si>
    <t>Add 4 managed lanes on I-5 from Leucadia Boulevard to Vandegrift Boulevard.</t>
  </si>
  <si>
    <t>HOV Connector: I-5 / I-805 Interchange</t>
  </si>
  <si>
    <t>I-5/I-805 Interchange</t>
  </si>
  <si>
    <t>FWY Connector: I-5 / SR 56 Interchange</t>
  </si>
  <si>
    <t>Addition of a freeway connector for the I-5/SR 56 interchange.</t>
  </si>
  <si>
    <t>FWY Connector: I-5 / SR 78 Interchange</t>
  </si>
  <si>
    <t>Addition of a freeway connector for the I-5/SR 78 interchange.</t>
  </si>
  <si>
    <t>I-5/SR 78 Interchange</t>
  </si>
  <si>
    <t>Route 398 (COASTER) / BRT Route 472 Improvements</t>
  </si>
  <si>
    <t>Corridor transit improvements that include a combination of COASTER and BRT projects. COASTER improvements include: vehicles; station improvements including parking, double tracking and other improvements; Del Mar tunnel; and increased service routes. BRT improvements include: vehicles, stations, signal priority and other arterial improvements along El Camino Real, direct access ramps on I-5 south from Encinitas, and increased service routes.</t>
  </si>
  <si>
    <t xml:space="preserve">Route 398 COASTER/BRT Route 472 (El Camino Real) </t>
  </si>
  <si>
    <t>SR 52: I-15 to SR 125</t>
  </si>
  <si>
    <t>SR 52: SR 125 to SR 67</t>
  </si>
  <si>
    <t>FWY Connector: SR 94 / SR 125 Interchange</t>
  </si>
  <si>
    <t>SR 94: SR 125 to Steele Canyon Rd</t>
  </si>
  <si>
    <t>SR 94 / SR 125: I-805 to I-8</t>
  </si>
  <si>
    <t>Route 520 (Orange Line Trolley) Improvements</t>
  </si>
  <si>
    <t>SR 54 / SR 125: I-805 to SR 94</t>
  </si>
  <si>
    <t>SR 67: Mapleview St to Dye Rd</t>
  </si>
  <si>
    <t>I-8: Second St to Los Coches Rd</t>
  </si>
  <si>
    <t>SR 78: I-5 to I-15</t>
  </si>
  <si>
    <t>Route 399 (SPRINTER) / BRT Route 471 Improvements</t>
  </si>
  <si>
    <t>SR 76: Melrose Dr to I-15</t>
  </si>
  <si>
    <t>SR 56: I-5 to I-15</t>
  </si>
  <si>
    <t>BRT Showcase Route 611: via El Cajon Blvd &amp; Park Blvd (Now known as Mid-City Rapid Route 215)</t>
  </si>
  <si>
    <t>SR 75 / SR 282 (Coronado Tunnel): Glorietta Blvd to Alameda Blvd</t>
  </si>
  <si>
    <t>Border Access Improvements</t>
  </si>
  <si>
    <t>SR 125: SR 905 to SR 54</t>
  </si>
  <si>
    <t>Add 2 freeway lanes and 2 reversible managed lanes on SR 52 from I-15 to SR 125.</t>
  </si>
  <si>
    <t>Add 4 freeway lanes on SR 52 from SR 125 to SR 67.</t>
  </si>
  <si>
    <t>Freeway connector for the SR 94 / SR 125 interchange.</t>
  </si>
  <si>
    <t>Widen to six lanes from SR 125 to Avocado Boulevard and expand to a continuous four-lane facility from Avocado Boulevard to Steele Canyon Road, including environmental enhancements from Jamacha Road to Steele Canyon Road.</t>
  </si>
  <si>
    <t>Add two HOV lanes from I-805 to I-8.</t>
  </si>
  <si>
    <t>Conversion to low-floor vehicles, enhanced 
stations, signal upgrades, and extended platforms.</t>
  </si>
  <si>
    <t>Expand to a continuous four-lane facility, including environmental enhancements, from Mapleview Street to Dye Road.</t>
  </si>
  <si>
    <t>Corridor transit improvements that include a combination of SPRINTER and BRT projects. SPRINTER improvements include: double tracking, North County Fair extension, some grade separations, 15-minute peak service by 2016, and 15-minute all day service by 2030. BRT improvements include: vehicles, signal priority and other arterial improvements, building 18 stations, and 15-minute peak / 30-minute off peak service by 2020.</t>
  </si>
  <si>
    <t>Add two general purposes lanes on SR 76 from Melrose Drive to I-15, including environmental enhancements from Mission Road to I-15.</t>
  </si>
  <si>
    <t>Add one general purpose lane on SR 56 in each direction from I-5 to I-15.</t>
  </si>
  <si>
    <t>Signal priority, queue jumper lanes, other arterial improvements, vehicles; builds 13 stations and incorporates upgrades to downtown stations. 10-minute peak / 15-minute off-peak service by 2006.</t>
  </si>
  <si>
    <t>Provide matching construction funds for access improvements in the international border area.</t>
  </si>
  <si>
    <t>South Bay Expressway toll road purchase.</t>
  </si>
  <si>
    <t>I-15 to SR 125</t>
  </si>
  <si>
    <t>SR 125 to SR 67</t>
  </si>
  <si>
    <t>SR 125 to Steele Canyon Rd</t>
  </si>
  <si>
    <t>I-805 to I-8</t>
  </si>
  <si>
    <t>I-805 to SR 94</t>
  </si>
  <si>
    <t>Mapleview St to Dye Rd</t>
  </si>
  <si>
    <t>Second St to Los Coches Rd</t>
  </si>
  <si>
    <t>I-5 to I-15</t>
  </si>
  <si>
    <t>SR 94 / SR 125 interchange</t>
  </si>
  <si>
    <t>Melrose Dr to I-15</t>
  </si>
  <si>
    <t>Glorietta Blvd to Alameda Blvd</t>
  </si>
  <si>
    <t>SR 905 to SR 54</t>
  </si>
  <si>
    <t>El Cajon Blvd &amp; Park Blvd</t>
  </si>
  <si>
    <t>San Diego/Mexico Border</t>
  </si>
  <si>
    <t>BRT Wi-Fi Phase I</t>
  </si>
  <si>
    <t>MTS Rapid Bus routes 235 (from Escondido to Downtown San Diego along I-15 and SR 94), 237 (from Escondido to UC San Diego along I-15, Mira Mesa Boulevard and La Jolla Village Drive), and 215 (from San Diego State University to Downtown San Diego along El Cajon Boulevard, College Avenue, Park Boulevard, and Broadway).</t>
  </si>
  <si>
    <t>Project has not begun so no progress to date to report.</t>
  </si>
  <si>
    <t>Design and construction of west-to-north and south-to-east general purpose connectors including auxiliary lanes on SR 56 from El Camino Real to Carmel Country Road.</t>
  </si>
  <si>
    <t>Final environmental document for west-to-north and south-to-east general purpose connectors including auxiliary lanes on SR 56 from El Camino Real to Carmel Country Road.</t>
  </si>
  <si>
    <t>TBD</t>
  </si>
  <si>
    <t>SR 78/I-5 Express Lanes Connector</t>
  </si>
  <si>
    <t>At SR 78 and I-5 Connector.</t>
  </si>
  <si>
    <t>Downtown San Diego to Arnele Avenue in El Cajon</t>
  </si>
  <si>
    <t>Downtown San Diego to the San Ysidro border crossing</t>
  </si>
  <si>
    <t>TransNet Ordinance Crosswalk</t>
  </si>
  <si>
    <t>Add two lanes to provide a continuous facility with three general purpose lanes and one HOV lane in each direction.</t>
  </si>
  <si>
    <t>Add two general purpose lanes from Second Street to Los Coches Road.</t>
  </si>
  <si>
    <t>Completed Projects</t>
  </si>
  <si>
    <t>Remaining Ordinance Projects</t>
  </si>
  <si>
    <t>Provide matching funds for construction purposes only for a tunnel from Glorietta Boulevard to Alameda Boulevard.</t>
  </si>
  <si>
    <t>Construct four express lanes with moveable median barrier.</t>
  </si>
  <si>
    <t>Completed or Remaining?</t>
  </si>
  <si>
    <t>Construct four express lanes, moveable median barrier, and direct access ramps at Ted Williams Parkway and Rancho Bernardo Road.</t>
  </si>
  <si>
    <t>On SR 94 from I-5 to I-805.</t>
  </si>
  <si>
    <t>Construct transit stations, surface parking, bus staging areas, bike lockers, and station amenities for I-15 BRT service.</t>
  </si>
  <si>
    <t>Along I-15 at Rancho Bernardo Road, Sabre Springs Parkway, and 
Del Lago Boulevard.</t>
  </si>
  <si>
    <t>New BRT service including vehicle acquisition.</t>
  </si>
  <si>
    <t xml:space="preserve">Construct five hundred-car parking structure, 150 surface spaces, bus staging area (eight-bus capacity), landscaping, lighting, modular bus station, security cameras, bus shelters, and amenities. </t>
  </si>
  <si>
    <t>Along I-15 at Sabre Springs transit station.</t>
  </si>
  <si>
    <t>Traffic Signal Priority on Clairemont Mesa Boulevard and transit station improvements at eastbound Ruffin Road stop. Final design and construction of five additional transit stations.</t>
  </si>
  <si>
    <t>On Clairemont Mesa Boulevard from SR 163 to I-15.</t>
  </si>
  <si>
    <t>Construction for HOV/ML direct connectors at SR 78 and I-15 for northbound-to-westbound and eastbound-to-southbound traffic and managed lanes between the connector and Twin Oaks Valley Road.</t>
  </si>
  <si>
    <t>TL12, TL13</t>
  </si>
  <si>
    <t>CC104</t>
  </si>
  <si>
    <t>CC108</t>
  </si>
  <si>
    <t>CC040, CC042</t>
  </si>
  <si>
    <t>CC036, CC037</t>
  </si>
  <si>
    <t>CC035</t>
  </si>
  <si>
    <t>CC045, GM01, GM03, TL53, TL59, TL47</t>
  </si>
  <si>
    <t>Ordinance/ CIP Completion Percentage</t>
  </si>
  <si>
    <t xml:space="preserve">Mitigation for impacts from the I-15 Managed Lanes Project, SR 52 Extension Project, San Diego Culvert Rehabilitation Project, and I-805 Culvert Replacement Project. Mitigation includes wetland creation, restoration and enhancement. </t>
  </si>
  <si>
    <t>Near intersection of SR-125/SR-52 at Mission Gorge Rd., in the city of Santee.</t>
  </si>
  <si>
    <t>On SR 78 and I-15 from Twin Oaks Valley Road to West Valley Parkway.</t>
  </si>
  <si>
    <t>On I-15 from Centre City Parkway to SR 78.</t>
  </si>
  <si>
    <t>On I-805 from SR 94 to SR 15.</t>
  </si>
  <si>
    <t>Construct two HOV lanes on I-15 from SR 94 to SR 163.</t>
  </si>
  <si>
    <t>Construct direct connectors between I-805 and SR 15.</t>
  </si>
  <si>
    <t>On I-15 from SR 94 to SR 163.</t>
  </si>
  <si>
    <t>Future CIP scheduled to begin in FY 2026.</t>
  </si>
  <si>
    <t>I-15/ SR 78 HOV Connectors (Construction)</t>
  </si>
  <si>
    <t>Special case where environmental mitigation was split into it's own CIP. Project represents 1% of overall project completion status. Mitigation is 10% complete.</t>
  </si>
  <si>
    <t>Project is 100% complete through design phase, which represents 40% of total project scope.</t>
  </si>
  <si>
    <t>I-15: SR 94 to SR 163 HOV (Construction)</t>
  </si>
  <si>
    <t>I-805/SR 15 Interchange (Construction)</t>
  </si>
  <si>
    <t>HOV Connector: I-15 / SR 94 (Design and Construction)</t>
  </si>
  <si>
    <t xml:space="preserve"> I-15/SR 94 interchange.</t>
  </si>
  <si>
    <t>SR 94 HOV Lanes: I-5 to I-15</t>
  </si>
  <si>
    <t>On SR 94 from I-5 to I-15.</t>
  </si>
  <si>
    <t>Design and construction of HOV lane connector.</t>
  </si>
  <si>
    <t>Design and construction of 2 HOV lanes.</t>
  </si>
  <si>
    <t>TransNet Funds (millions)</t>
  </si>
  <si>
    <t>Other Funds (millions)</t>
  </si>
  <si>
    <t>Final environmental document for HOV lanes in the median of SR-94, including direct connectors between I-805 and SR-94 for northbound-to-westbound and eastbound-to-southbound and between SR-94 and SR-15 for eastbound-to-northbound and southbound-to-westbound HOV/Rapid traffic.</t>
  </si>
  <si>
    <t>Along Broadway Street in San Diego.</t>
  </si>
  <si>
    <t>Improvements are complete for 1 out of 6 transit stations is complete (100% complete). Remaining 5 stations are fully designed and pending additional funds to complete construction (40% complete).</t>
  </si>
  <si>
    <t>Environmental clearance and design for two transit lanes and a south facing Direct Access Ramp (DAR) at Clairemont Mesa Boulevard.</t>
  </si>
  <si>
    <t>Construct direct access ramps, transit station with bus staging platforms, bike lockers, and station amenities.</t>
  </si>
  <si>
    <t xml:space="preserve">Along I-15 from Carroll Canyon Road to Mira Mesa Boulevard. </t>
  </si>
  <si>
    <t>From Escondido to Downtown San Diego via I-15 and SR 94. From Escondido to Sorrento Valley via I-15 and Mira Mesa Boulevard.</t>
  </si>
  <si>
    <t>Feasibility analyses of hardware procurement, testing, and installation for WiFi on buses pilot and a possible full implementation project to serve Rapid routes.</t>
  </si>
  <si>
    <t>Initial analyses were conducted, but technology was proven to not be cost effective and thus full implementation did not occur.</t>
  </si>
  <si>
    <t>CIP Funds (millions)</t>
  </si>
  <si>
    <t>Not included in Appendix A</t>
  </si>
  <si>
    <t>Not included</t>
  </si>
  <si>
    <t>Roadway and transit improvements at Otay Mesa and Otay Mesa East</t>
  </si>
  <si>
    <t>TL10, TL11, TL39</t>
  </si>
  <si>
    <t>CC012, CC013</t>
  </si>
  <si>
    <t>CC027</t>
  </si>
  <si>
    <t>CC050</t>
  </si>
  <si>
    <t>CC030, CC031</t>
  </si>
  <si>
    <t>SPRINTER improvements and Rapid Route 471</t>
  </si>
  <si>
    <t>CC004</t>
  </si>
  <si>
    <t>CC105, CC064</t>
  </si>
  <si>
    <t>CC063</t>
  </si>
  <si>
    <t>CC007, CC046</t>
  </si>
  <si>
    <t>CC007, CC008, CC046</t>
  </si>
  <si>
    <t>CC008, CC046</t>
  </si>
  <si>
    <t>CC009, CC046</t>
  </si>
  <si>
    <t>COASTER improvements</t>
  </si>
  <si>
    <t>TL05, TL06, TL07</t>
  </si>
  <si>
    <t>CC022</t>
  </si>
  <si>
    <t>CC005, CC006, CC007, CC008, CC046</t>
  </si>
  <si>
    <t>CC034, CC042</t>
  </si>
  <si>
    <t xml:space="preserve">SR 94 / SR 125, South to East freeway connector, including aux lane to Lemon Avenue </t>
  </si>
  <si>
    <t>CC005</t>
  </si>
  <si>
    <t>TL29</t>
  </si>
  <si>
    <t>TL29, CC110</t>
  </si>
  <si>
    <t>TL02, TL03</t>
  </si>
  <si>
    <t xml:space="preserve">Oversight of utilization of data in transportation planning and development of an innovative transportation network by evaluating all travel modes and transportation facilities in this highly congested corridor. The study subareas include the communities of Sorrento Valley, Kearny Mesa, Mission Valley, National City, Chula Vista, Coronado/Imperial Beach, and U.S./Mexico Border. </t>
  </si>
  <si>
    <t>TL02: Commuter Rail 582 (Purple Line), Sorrento Mesa to National City via UTC, Kearny Mesa, and University Heights
TL03: Commuter Rail 582 (Purple Line), National City to U.S. Border</t>
  </si>
  <si>
    <t>CC019</t>
  </si>
  <si>
    <t>Traffic Signal Priority measures and preliminary engineering for queue jumpers and new bus shelters. Signage and communications plan for Park and Ride.</t>
  </si>
  <si>
    <t>On Mira Mesa Boulevard from I-15 to UC San Diego.</t>
  </si>
  <si>
    <t>Reimburse San Diego Miramar College for the construction of parking garage in order to provide Park and Ride near the transit center.</t>
  </si>
  <si>
    <t>Along I-15 from Carroll Canyon Road to Mira Mesa Boulevard.</t>
  </si>
  <si>
    <t>I-805 South: 2 HOV and Direct Access Ramp</t>
  </si>
  <si>
    <t>On I-805 from Palomar Street to Landis Street.</t>
  </si>
  <si>
    <t>Final environmental document for four express lanes in the median, Direct Access Ramp (DAR) at Palomar Street, center-line Bus Rapid Transit (BRT) stations at H Street and Plaza Blvd, direct freeway-to-freeway HOV connectors between I-805 and I-15.</t>
  </si>
  <si>
    <t xml:space="preserve">I-805 HOV Lanes Construction </t>
  </si>
  <si>
    <t>I-805 from SR 905 to SR 54</t>
  </si>
  <si>
    <t>Construction of Unit 1 soundwalls and Sweetwater River Bridge improvements is complete. Construction of Unit 2 soundwalls is 10% complete.</t>
  </si>
  <si>
    <t>I-805 South: HOV Lanes (SR 94 to I-8)</t>
  </si>
  <si>
    <t>On I-805 from SR 94 to I-8</t>
  </si>
  <si>
    <t>Project will begin in FY 2025.</t>
  </si>
  <si>
    <t>Final environmental document for 4 managed lanes.</t>
  </si>
  <si>
    <t>I-805 from SR 52 to I-5 merge.</t>
  </si>
  <si>
    <t>Widen I-805 and construct southbound auxiliary lane.</t>
  </si>
  <si>
    <t>In Chula Vista from SR 54 to E Street.</t>
  </si>
  <si>
    <t xml:space="preserve">Expansion of the South Bay Maintenance Facility to accommodate maintenance of bus Rapid transit vehicles, including property acquisition, site preparation, lighting, parking, fencing, and bus servicing facilities. </t>
  </si>
  <si>
    <t>At South Bay Maintenance Facility on Main Street in Chula Vista.</t>
  </si>
  <si>
    <t>On I-805 just north of Imperial Avenue.</t>
  </si>
  <si>
    <t>Prepare final Project Study Report-Project Development Supports (PSR-PDS) and Preliminary Environmental Assessment Report (PEAR) for an I-805 bus rapid transit station with connection to the 47th Street Trolley Station.</t>
  </si>
  <si>
    <t>From the U.S.-Mexico Border along SR 11, SR 905, I-5, and I-805 to SR 94, then along I-805 and SR 15/I-15 to SR 52, then along I-805 to the I-5/I-805 Merge.</t>
  </si>
  <si>
    <t>On I-805 corridor, between National City and 8th Street Trolley Centers and Sorrento Valley.</t>
  </si>
  <si>
    <t>Start express bus service on inside shoulder of I-805.</t>
  </si>
  <si>
    <t>The project aims to assess vulnerabilities such as sea-level rise, wildfires, supporting land uses and their potential impacts on mission readiness to support work underway on the Central Mobility Hub in the San Diego region.  This work effort is supporting the Comprehensive Multimodal Corridor Plan (CMCP) for Central Mobility Connections (CIP No. 1600504)  and will be incorporated into regional and military installation planning efforts.</t>
  </si>
  <si>
    <t>Central Mobility Station/I-5/Coronado Connection &amp; Downtown Connections to Naval Bases Coronado, Point Loma and San Diego.</t>
  </si>
  <si>
    <t>Oversight of utilization of data in transportation planning and development the Comprehensive Multimodal Corridor Plan for Central Mobility Connections (CIP No. 1600504) and will be incorporated into regional and military installation planning efforts. Assess vulnerabilities such as sea-level rise, wildfires, supporting land uses and their potential impacts on mission readiness to support work underway on the Central Mobility Hub in the San Diego region.</t>
  </si>
  <si>
    <t>Central Mobility Station/I-5/Coronado Connection and Downtown Connections to Naval Bases Coronado, Point Loma and San Diego.</t>
  </si>
  <si>
    <t>Widen west to north connector and construct new northbound lane.</t>
  </si>
  <si>
    <t>On I-5 from I-8 to Sea World Drive.</t>
  </si>
  <si>
    <t>Reconstruct station platforms for low-floor trolley vehicles and replace existing shelters. Install new rail, ties, grade crossings. Repair substations and wayside slopes.</t>
  </si>
  <si>
    <t>Blue Line: from 12th &amp; Imperial to San Ysidro.</t>
  </si>
  <si>
    <t>New crossovers, signaling system, fiber optic connections, and relocation of catenary poles.</t>
  </si>
  <si>
    <t>Blue Line: from America Plaza to San Ysidro, Orange Line: from Santa Fe Depot to Grossmont, Green Line: from Old Town to 12th &amp; Imperial.</t>
  </si>
  <si>
    <t>Install communications equipment including variable message signs, central control software, fiber optic cable, real-time next Trolley arrival signs, and closed-circuit television.</t>
  </si>
  <si>
    <t xml:space="preserve">Blue Line: from America Plaza to San Ysidro; Orange Line: from Santa Fe Depot to Grossmont; Green Line: from Old Town to 12th &amp; Imperial.	</t>
  </si>
  <si>
    <t>65 new low-floor trolley vehicles.</t>
  </si>
  <si>
    <t>Construction, design, and final environmental clearance for rail grade separation and relocation of utilities.</t>
  </si>
  <si>
    <t>Environmental document is 70% complete. Overall project completion is 12% complete.</t>
  </si>
  <si>
    <t>Construction is 25% complete. Overall project is 55% complete since design and final environmental document have been completed.</t>
  </si>
  <si>
    <t>On and along existing rail corridor from Old Town to University of California, San Diego (UCSD)/University City.</t>
  </si>
  <si>
    <t>Pre-preliminary engineering studies for an 11-mile trolley line with new transit stations proposed at Tecolote Road, Clairemont Drive, Balboa Avenue, Nobel Drive, UCSD West, UCSD East, Executive Drive, and the University Town Center (UTC) Transit Center.</t>
  </si>
  <si>
    <t>New SuperLoop Rapid service, traffic signal priority measures, new signalized intersections, street modifications, new SuperLoop Rapid vehicles, and new enhanced transit stops.</t>
  </si>
  <si>
    <t>In University City along Voigt Drive, Genesee Avenue, Nobel Drive, Gilman Drive, and Executive Drive.</t>
  </si>
  <si>
    <t>Final environmental document and Public Works Plan for four managed lanes including direct access ramps at various locations.</t>
  </si>
  <si>
    <t>I-5 North Coast: 4 Express Lanes Construction</t>
  </si>
  <si>
    <t>Construction has not begun so no progress to date to report.</t>
  </si>
  <si>
    <t>On I-5 from Birmingham Drive to North of Encinitas Boulevard.</t>
  </si>
  <si>
    <t xml:space="preserve">On I-5 from Lomas Santa Fe Drive to Birmingham Drive. </t>
  </si>
  <si>
    <t>On I-5 between Genesee Avenue and La Jolla Village Drive.</t>
  </si>
  <si>
    <t>Construction to convert HOV lanes to Express Lanes.</t>
  </si>
  <si>
    <t>On I-5 from the I-5/805 merge to SR-78.</t>
  </si>
  <si>
    <t xml:space="preserve">On I-805 from SR 52 to the I-5/805 merge and on I-5 from the I-5/805 merge to SR 78. </t>
  </si>
  <si>
    <t>On I-805 from SR 52 to the I-5/805 merge.</t>
  </si>
  <si>
    <t>On I-5 from Manchester Avenue to Leucadia Boulevard.</t>
  </si>
  <si>
    <t>On I-5 from Leucadia Blvd to Palomar Airport Road.</t>
  </si>
  <si>
    <t xml:space="preserve">On I-5 from Palomar Airport Road to north of SR 78. The Batiquitos Lagoon Trail project is located under Interstate 5 from Batiquitos Lagoon Nature Center to Mermaid Lane in the City of Carlsbad. </t>
  </si>
  <si>
    <t>On I-5 from SR 78 to SR 76.</t>
  </si>
  <si>
    <t>SR 78/I-5 Express Lanes Connector (Design and Construction)</t>
  </si>
  <si>
    <t xml:space="preserve">Environmental document is 10% complete. </t>
  </si>
  <si>
    <t xml:space="preserve">Convert 1.1 miles of single-track to double-track, construct a new bridge, and install new signals.			</t>
  </si>
  <si>
    <t>On coastal rail corridor from Control Point (CP) Pines near Roselle Street to CP Carroll near I-805.</t>
  </si>
  <si>
    <t>Install third track at station to facilitate train passing and improve operations.</t>
  </si>
  <si>
    <t>On coastal rail corridor at Oceanside Transit Center.</t>
  </si>
  <si>
    <t>Design double track for the Coastal Rail Corridor from Control Point (CP) Carl to CP Farr in Carlsbad.</t>
  </si>
  <si>
    <t xml:space="preserve">Double track, signals, a new bridge over Agua Hedionda Lagoon, and a universal crossover near CP Farr. </t>
  </si>
  <si>
    <t>Project completed through Design phase. Construction is still pending.</t>
  </si>
  <si>
    <t xml:space="preserve">Construct a new grade-separated pedestrian crossing, reconfigure tracks, and install new platform, fence, signals, and track upgrades. </t>
  </si>
  <si>
    <t xml:space="preserve">Convert 1.1 miles of single-track to double-track, raise tracks, construct one new bridge and replace one bridge with a culvert, expand parking lot at Sorrento Valley Station, and install new signals. </t>
  </si>
  <si>
    <t xml:space="preserve">On coastal rail corridor from Mile Post (MP) 247.8 to MP 248.9 just north of Sorrento Valley Station. </t>
  </si>
  <si>
    <t>Install crossovers to improve staging of trains as they enter Santa Fe Depot.</t>
  </si>
  <si>
    <t>On Coastal Rail Corridor from Control Point (CP) Morena near Balboa Avenue to CP Tecolote near Sea World Drive.</t>
  </si>
  <si>
    <t xml:space="preserve">On the coastal rail corridor from Control Point (CP) Eastbrook near Oceanside Harbor Drive to CP Shell near Surfrider Way. </t>
  </si>
  <si>
    <t>Design and final environmental clearance for 0.6 miles of double-track, a new bridge over San Luis Rey River, and new signals.</t>
  </si>
  <si>
    <t xml:space="preserve">Convert 2.6 miles of single-track to double-track and install new signals, replacement bridges, water/sewer facilities, universal crossover at Control Point (CP) Rose, and signaling. </t>
  </si>
  <si>
    <t xml:space="preserve">On the LOSSAN Rail Corridor from CP Elvira near SR 52 to CP Friar near Friars Road. </t>
  </si>
  <si>
    <t xml:space="preserve">Environmental clearance and design of 2.1 miles of double-track, special events platform, replacement of the San Dieguito Bridge, and other various improvements. Project will be split into two phases for construction. Phase 1 (CIP No. 1239822) will construct 0.8 miles of double-track north of the existing bridge. Phase 2 (CIP No. 1239824) will build the remaining double-track, new bridge, and improvements. </t>
  </si>
  <si>
    <t>On the LOSSAN Rail Corridor over San Diego River from Mile Post (MP) 263.2 to MP 264.1</t>
  </si>
  <si>
    <t>On the LOSSAN Rail Corridor over Batiquitos Lagoon from Mile Post (MP) 234.5 to MP 235.5</t>
  </si>
  <si>
    <t>Project is complete through environmental and design phases. Construction will begin in FY 2025.</t>
  </si>
  <si>
    <t>Complete final design and construct at-grade crossing improvements including all bike and pedestrian facilities, double track rail, signals, and safety improvements at Chesterfield Drive.</t>
  </si>
  <si>
    <t>On Chesterfield Drive in the City of Encinitas, between Coast Highway 101 and San Elijo Avenue, and in the North County Transit District coastal rail corridor.</t>
  </si>
  <si>
    <t>Alternatives analyses complete. Environmental clearance will resume in FY 2026 when STIP funds become available.</t>
  </si>
  <si>
    <t>On LOSSAN Rail Corridor from downtown San Diego at Mile Post (MP) 269 to the Orange County Line at MP 207.4.</t>
  </si>
  <si>
    <t>Scope of project is just preliminary engineering and has been completed.</t>
  </si>
  <si>
    <t xml:space="preserve">Construct 0.8 miles of double-track and other various improvements. </t>
  </si>
  <si>
    <t xml:space="preserve">On the LOSSAN Rail Corridor from City of Solana Beach (Mile Post [MP] 242.2) to north of the San Dieguito River Bridge (MP 242.9). </t>
  </si>
  <si>
    <t>Construction will begin in FY 2025.</t>
  </si>
  <si>
    <t>Completion of Project Approval and Environmental Document (PA&amp;ED) phase re-aligning the LOSSAN Rail Corridor away from the Del Mar Bluffs with a double-track system, and the advancement of the design and right-of-way phases.</t>
  </si>
  <si>
    <t>Within the City of Del Mar and the City of San Diego from Control Point (CP) Valley at Mile Post (MP) 242 to CP Sorrento at MP 249.1.</t>
  </si>
  <si>
    <t>Environmental clearance is 40% complete. Overall project through construction is 9% complete.</t>
  </si>
  <si>
    <t xml:space="preserve">Construction of 0.3 miles of new main track, improvements to 0.6 siding track, the replacement of aging wood trestle San Dieguito Lagoon Rail Bridge, construction of special events platform for the Del Mar Fairgrounds, and other various improvements. </t>
  </si>
  <si>
    <t xml:space="preserve">In the City of Del Mar, along the San Diego subdivision of the LOSSAN Rail Corridor between Mile Post (MP) 243.0 to MP 243.9. </t>
  </si>
  <si>
    <t>SR 52 Widening</t>
  </si>
  <si>
    <t>SR 52 Improvements</t>
  </si>
  <si>
    <t>Environmental clearance and design for operational improvements along SR 52. Design phase includes planning for transit opportunities in the SR 52 corridor.</t>
  </si>
  <si>
    <t xml:space="preserve">Along SR 52 from I-805 to SR 125. </t>
  </si>
  <si>
    <t>In San Diego and Santee from I-15 to SR 125.</t>
  </si>
  <si>
    <t>SR 52 Managed Lanes</t>
  </si>
  <si>
    <t>Preliminary environmental analyses for SR 52 two reversible managed lane project.</t>
  </si>
  <si>
    <t>On SR 52 in San Diego from I-15 to Mast Boulevard.</t>
  </si>
  <si>
    <t>Construct third eastbound and westbound lane between I-15 and Mast Boulevard, including landscaping.</t>
  </si>
  <si>
    <t>Construct four general purpose lanes, direct connectors at SR 125 and SR 67, and interchanges at Fanita Drive, Magnolia Avenue, and Cuyamaca Street.</t>
  </si>
  <si>
    <t>On SR 52 from SR 125 to SR 67.</t>
  </si>
  <si>
    <t>SR 52 Extension</t>
  </si>
  <si>
    <t>SR 94/SR 125 South to East Connector</t>
  </si>
  <si>
    <t>On SR 94 and SR 125 from Lemon Avenue to Bancroft Drive.</t>
  </si>
  <si>
    <t>Design and right-of-way of southbound SR 125 to eastbound SR 94 direct connector. Construction of operational improvements on SR 125 Northbound Auxiliary Lane, SR 125 Southbound Auxiliary Lane, and SR 94 Eastbound Auxiliary Lane (Phase 1). Phase 2 will include construction of the southbound SR 125 to eastbound SR 94 direct connector.</t>
  </si>
  <si>
    <t>Environmental document is 20% complete. Entire project, considering future planned construction, is 7% complete.</t>
  </si>
  <si>
    <t>Environmental document is complete and design phase is 80% complete. Entire project, considering future planned construction, is 35% complete.</t>
  </si>
  <si>
    <t xml:space="preserve">Development of multimodal transportation solutions to improve mobility in the corridor along SR 125 from SR 52 to SR 905 and the U.S.-Mexico border. The Comprehensive Multimodal Corridor Plan (CMCP) also will include analysis of tolls on the South Bay Expressway. </t>
  </si>
  <si>
    <t>CMCP - High Speed Transit/SR 125</t>
  </si>
  <si>
    <t>On SR 125 from SR 52 to SR 905 and the U.S.-Mexico Border.</t>
  </si>
  <si>
    <t>CMCP study is 10% complete. Project does not include environmental clearance, design, or construction phases.</t>
  </si>
  <si>
    <t>CMCP - High Speed Transit/SR 94</t>
  </si>
  <si>
    <t>Along the SR 94 corridor from I-5 to SR 125.</t>
  </si>
  <si>
    <t>Final environmental document, design, and construction of two HOV lanes from I-805 to I-8.</t>
  </si>
  <si>
    <t>Development of multimodal transportation solutions to increase transportation options, decrease congestion, and improve mobility along SR 94 between I-5 and SR 125 in San Diego, from Downtown San Diego to Lemon Grove.</t>
  </si>
  <si>
    <t>Final environmental document has not begun so no progress to date to report.</t>
  </si>
  <si>
    <t>CMCP study will begin in FY 2025.</t>
  </si>
  <si>
    <t xml:space="preserve">Railway signaling design work, software modifications, and construction of hardware modifications to provide pedestrian crossing improvements on Blue Line Grade Crossing. </t>
  </si>
  <si>
    <t xml:space="preserve">Along the Blue Line trolley from 12th and Imperial to San Ysidro. </t>
  </si>
  <si>
    <t>Blue Line Railway Signal Improvements</t>
  </si>
  <si>
    <t>Install 17 new traction power substations; site improvements at stations and substations and network improvements.</t>
  </si>
  <si>
    <t>Blue Line: from America Plaza to San Ysidro, Orange Line: from Santa Fe Depot to Grossmont.</t>
  </si>
  <si>
    <t>Orange and Blue Line Traction Power Substations</t>
  </si>
  <si>
    <t>Low-Floor Light Rail Transit Vehicles</t>
  </si>
  <si>
    <t>New low-floor vehicle procurement for San Diego Trolley system.</t>
  </si>
  <si>
    <t>47 Light Rail Vehicles (LRVs) to replace existing SD100 fleet to support additional, more frequent trolley service.</t>
  </si>
  <si>
    <t>25 out of the 47 vehicles (53%) have been delivered, accepted, and put into service.</t>
  </si>
  <si>
    <t>Reconstruct station platforms for low-floor Trolley vehicles and replace existing shelters.  Install a double crossover at America Plaza Station and replace switches and signaling system at Santa Fe Depot.</t>
  </si>
  <si>
    <t>Blue Line: from America Plaza to San Ysidro; Orange Line: from Santa Fe Depot to Grossmont; Green Line: from Old Town to 12th &amp; Imperial.</t>
  </si>
  <si>
    <t>Orange and Blue Line Platforms</t>
  </si>
  <si>
    <t>Orange and Blue Line Project Management</t>
  </si>
  <si>
    <t>On trolley system from Old Town Transit Center, La Mesa Station, San Ysidro Station to downtown San Diego.</t>
  </si>
  <si>
    <t>Coordinate budget, schedule, environmental clearance, permitting, design, construction, and construction management for conversion to low-floor vehicles and system renewal.</t>
  </si>
  <si>
    <t>SR 67 Improvements</t>
  </si>
  <si>
    <t xml:space="preserve">Environmental clearance and design for alternatives to enhance temporary evacuation capacity along SR 67, including transit options from Ramona to Poway. </t>
  </si>
  <si>
    <t>Along SR 67 from Mapleview Street to Dye Road in San Diego County.</t>
  </si>
  <si>
    <t>CMCP - Coast, Canyons, and Trails (SR 52)</t>
  </si>
  <si>
    <t>Along the SR 52 from I-5 to SR 67 and along SR 67 from I-8 to Mapleview Street.</t>
  </si>
  <si>
    <t xml:space="preserve">Oversight of utilization of data in transportation planning and development of multimodal projects and strategies that integrate active transportation, transit, and the deployment of technology to better manage mobility throughout the corridor. </t>
  </si>
  <si>
    <t>CMCP - San Vicente Corridor (SR 67)</t>
  </si>
  <si>
    <t>A Comprehensive Multimodal Corridor Plan (CMCP) is a comprehensive, integrated management plan for increasing transportation options, decreasing congestion, and improving travel times in a transportation corridor.</t>
  </si>
  <si>
    <t>Along SR 67 from Mapleview Street in the coummnity of Lakeside, and including SR 78 in the community of Ramona.</t>
  </si>
  <si>
    <t>CMCP study is complete. Project does not include environmental clearance, design, or construction phases.</t>
  </si>
  <si>
    <t>CMCP - High Speed Transit/I-8</t>
  </si>
  <si>
    <t>Oversight of utilization of data in transportation planning and development of multimodal transportation solutions to increase transportation options, decrease congestion, and improve mobility along the I-8 Corridor. It will also consider future transportation connections to the proposed SDSU Mission Valley Campus development.</t>
  </si>
  <si>
    <t>Along the I-8 corridor from San Diego Bay to Lakeside.</t>
  </si>
  <si>
    <t xml:space="preserve">SR 78/I-5 Express Lanes Connector </t>
  </si>
  <si>
    <t>Environmental phase is 10% complete. Overall project is 6% complete when considering future design and construction phases.</t>
  </si>
  <si>
    <t xml:space="preserve">SR 78 HOV Lanes: I-5 to I-15 </t>
  </si>
  <si>
    <t>On SR 78 from I-5 to I-15.</t>
  </si>
  <si>
    <t>SR 78 HOV/Managed Lanes (Study Only)</t>
  </si>
  <si>
    <t>Scope only included project study report. Environmental clearance and future design/construction will take place on 1207804.</t>
  </si>
  <si>
    <t>Replace Nordahl Road bridge over SR 78 and construct a new westbound lane on SR 78 between I-15 and Nordahl Road.</t>
  </si>
  <si>
    <t>SR 78 Nordahl Road Interchange</t>
  </si>
  <si>
    <t>On SR 78 at Nordahl Road.</t>
  </si>
  <si>
    <t>SPRINTER</t>
  </si>
  <si>
    <t>SPRINTER rail transit service between Oceanside and Escondido.</t>
  </si>
  <si>
    <t>Construct 15 stations and operates diesel multiple unit  (DMU) rail vehicles on double- and single-track right-of-way from Oceanside to Escondido and servicing the Oceanside Transit Center and Escondido Transit Center.</t>
  </si>
  <si>
    <t>Final environmental document, design, and construction of two general purpose lanes.</t>
  </si>
  <si>
    <t>CMCP - SPRINTER/Palomar Airport Road/SR 78/SR 76</t>
  </si>
  <si>
    <t xml:space="preserve">Oversight of utilization of data in transportation planning and development of multimodal transportation solutions to improve connectivity and access to homes, jobs, and education hubs in North County by reducing travel times, creating greater trip reliability and providing travelers with more transportation choices. </t>
  </si>
  <si>
    <t>Between the I-5 and I-15 freeways, along the SR 76, SR 78, Palomar Airport Road and the SPRINTER rail corridor.</t>
  </si>
  <si>
    <t>SR 76 East</t>
  </si>
  <si>
    <t xml:space="preserve">Reconstruct two-lane conventional highway as a four-lane conventional highway and modify the SR 76/I-15 Interchange. </t>
  </si>
  <si>
    <t xml:space="preserve">On SR 76 from Mission Road to I-15. </t>
  </si>
  <si>
    <t xml:space="preserve">Reconstruct two-lane conventional highway as a four-lane conventional highway. </t>
  </si>
  <si>
    <t>SR 76 Middle</t>
  </si>
  <si>
    <t>On SR 76 from Melrose Drive to Mission Road.</t>
  </si>
  <si>
    <t>SR 56 HOV Lanes</t>
  </si>
  <si>
    <t xml:space="preserve">On SR 56 from El Camino Real to Carmel Valley Road. </t>
  </si>
  <si>
    <t>Construction is 10% complete. Overall project scope, considering environmental clearance and design, is 46% complete.</t>
  </si>
  <si>
    <t>CMCP - High Speed Transit/SR 56</t>
  </si>
  <si>
    <t>Along the SR 56 corridor from I-5 to I-15.</t>
  </si>
  <si>
    <t>SR 56 HOV Lanes Phase 2</t>
  </si>
  <si>
    <t>On SR 56 from Carmel Valley Road to I-15.</t>
  </si>
  <si>
    <t>This second half of Ordinance 44 has not started.</t>
  </si>
  <si>
    <t>SR 15 BRT: Mid-City Centerline Stations</t>
  </si>
  <si>
    <t xml:space="preserve">On SR 15 at University Avenue and El Cajon Boulevard. </t>
  </si>
  <si>
    <t xml:space="preserve">Construct two bus rapid transit (BRT) stations in the median of SR 15. </t>
  </si>
  <si>
    <t>Mid-City Rapid Bus</t>
  </si>
  <si>
    <t>Provide new Rapid Bus service including: consolidated transit stops, SR 15 transit plaza and Mid-City Centerline, synchronized traffic signals with extended green lights for buses, new low-floor vehicles, new shelters, improve waiting areas, real-time next-bus arrival signs, service frequency upgrade to every 10 minutes in the peak period, and every 15 minutes off-peak.  Additional improvements include adding Traffic Signal Priority (TSP) along Park Boulevard, and TSP maintenance reporting for Rapid Fleet.</t>
  </si>
  <si>
    <t>From San Diego State University to Downtown San Diego along El Cajon Boulevard, College Avenue, Park Boulevard, and Broadway, including Rapid stations located along SR 15 at the El Cajon Boulevard and University Avenue ramps.</t>
  </si>
  <si>
    <t>Comments on Completion %</t>
  </si>
  <si>
    <t>SR 11 and Otay Mesa East Port of Entry: Segment 1 Construction</t>
  </si>
  <si>
    <t>On new alignment from SR 125 to Enrico Fermi Drive.</t>
  </si>
  <si>
    <t>Construct SR 11 four-lane highway from SR 125 to Enrico Fermi Drive.</t>
  </si>
  <si>
    <t>SR 11 and Otay Mesa East Port of Entry: Segment 2A and SR 905/125/11 Southbound Connectors Construction</t>
  </si>
  <si>
    <t>SR 11 and Otay Mesa East Port of Entry: Siempre Viva Interchange Construction</t>
  </si>
  <si>
    <t>Construction of Siempre Viva interchange.</t>
  </si>
  <si>
    <t>On SR 11 at Siempre Viva Road.</t>
  </si>
  <si>
    <t>Construct SR 11 four-lane toll highway from Enrico Fermi Drive to the proposed Otay Mesa East Port of Entry, and the SR 125 southbound to eastbound SR 905 and eastbound SR 11 connectors.</t>
  </si>
  <si>
    <t>On new alignment from Enrico Fermi Drive to Otay Mesa Port of Entry and at SR 905/125/11 interchange</t>
  </si>
  <si>
    <t>SR 11 and Otay Mesa East Port of Entry: Traffic and Revenue Study</t>
  </si>
  <si>
    <t xml:space="preserve">Develop an Investment Grade Traffic and Revenue (IG T&amp;R) study for the SR 11/Otay Mesa East Port of Entry project. </t>
  </si>
  <si>
    <t>On new alignment from SR 125 to the U.S.-Mexico Border.</t>
  </si>
  <si>
    <t>San Ysidro Intermodal Freight Facility</t>
  </si>
  <si>
    <t xml:space="preserve">At San Ysidro freight yard near East San Ysidro Boulevard and U.S. Port of Entry. </t>
  </si>
  <si>
    <t xml:space="preserve">Purchase right-of-way, add storage tracks, and construct truck-loading staging area. </t>
  </si>
  <si>
    <t>SR 905: I-805 to Britannia Boulevard</t>
  </si>
  <si>
    <t>Construct six-lane freeway.</t>
  </si>
  <si>
    <t>On new alignment from I-805 to Britannia Boulevard.</t>
  </si>
  <si>
    <t>SR 125/905 Southbound to Westbound Connector</t>
  </si>
  <si>
    <t>Construct SR 125/905 southbound to westbound freeway grade-separated interchange connector.</t>
  </si>
  <si>
    <t>At SR 125/905 Interchange.</t>
  </si>
  <si>
    <t>SR 11 and Otay Mesa East Port of Entry</t>
  </si>
  <si>
    <t>Design and right-of-way (ROW) for four-lane toll highway from SR 125 to proposed Port of Entry (POE), including the proposed Commercial Vehicle Enforcement Facility (CVEF) and POE at the Mexico border. Construction of CVEF, POE, and tolling system. Prepare engineering studies for the Otay Mesa East POE and tolling system. SR 11 Otay East Bridging Document - 30% Architectural Plans, Bond Counsel, Documents Required for Bond Issuance.</t>
  </si>
  <si>
    <t>Otay Mesa East Port of Entry Utility Improvements</t>
  </si>
  <si>
    <t>Design and construct new utility services including water, sewer, communication, electrical, and gas that will facilitate operations for the future Otay Mesa East POE and CHP-operated Commercial Vehicle Enforcement Facility.</t>
  </si>
  <si>
    <t>On State Route 11 at 1.9 miles east of Sanyo Avenue Undercrossing.</t>
  </si>
  <si>
    <t>South Line Rail Freight Capacity</t>
  </si>
  <si>
    <t>Install communication enhancements, crossovers, and signals.</t>
  </si>
  <si>
    <t>On Trolley system from Palomar Street station to San Ysidro station.</t>
  </si>
  <si>
    <t>SR 905/125/11 Northbound Connectors</t>
  </si>
  <si>
    <t xml:space="preserve">Construct northbound connectors to SR 125 from eastbound SR 905, westbound SR 905, and westbound SR 11. </t>
  </si>
  <si>
    <t>At SR 905/125/11 Interchange.</t>
  </si>
  <si>
    <t>I-805/SR 905 Connectors</t>
  </si>
  <si>
    <t>At SR 905 and I-805 Interchange.</t>
  </si>
  <si>
    <t xml:space="preserve">Widen west to north ramp connector. </t>
  </si>
  <si>
    <t>SR 905/125/11 Southbound Connectors</t>
  </si>
  <si>
    <t>Design of SR 125 connectors southbound to eastbound SR 905 and eastbound SR 11.</t>
  </si>
  <si>
    <t>South Bay Expressway (Toll Road Purchase)</t>
  </si>
  <si>
    <t>SR 125 toll road</t>
  </si>
  <si>
    <t>Comments on RP Mapping</t>
  </si>
  <si>
    <t>Project is currently acquring ROW only.</t>
  </si>
  <si>
    <t>Project Limits cover a portion of Ordinance No. 26 and No. 27.</t>
  </si>
  <si>
    <t>Design is 5% complete; construction will be part of a future CIP. Project Limits cover a portion of Ordinance No. 26 and No. 27.</t>
  </si>
  <si>
    <t>Comprehensive Multimodal Corridor Plan for increasing transportation options, decreasing congestion, and improving travel times.</t>
  </si>
  <si>
    <t>CC012: I-15 (I-805 to I-8)--transition from 8 freeway lanes +2 toll lanes to 6 freeway lanes+2 toll lanes+2 managed lanes
CC013: I-15 (I-8 to SR 163)--transition from 8 freeway lanes to 6 freeway lanes+4 managed lanes</t>
  </si>
  <si>
    <t>Environmental phase is 75% complete. Overall project completion is 13%.</t>
  </si>
  <si>
    <t>Construction will begin upon completion of final environmental document and design under CIP 1207802.</t>
  </si>
  <si>
    <t>Add 2 high-occupancy vehicle (HOV) lanes on I-15 from SR 94 to SR 163.</t>
  </si>
  <si>
    <t>Design two HOV lanes and direct connectors between I-805 and SR 15 for northbound-to-northbound and southbound-to-southbound HOV/bus rapid transit traffic.</t>
  </si>
  <si>
    <t>Add a HOV lane connector at the I-15/SR 78 interchange.</t>
  </si>
  <si>
    <t>Add a HOV lane connector at the I-15/SR 94 interchange.</t>
  </si>
  <si>
    <t>Adding 2 reversible HOV lanes on I-805 from SR 905 to SR 54.</t>
  </si>
  <si>
    <t>Construct two HOV lanes between Palomar Street and SR 94, north-facing Direct Access Ramps (DAR) and transit station at Palomar Street, and general purpose lanes between Plaza Boulevard and SR 54.</t>
  </si>
  <si>
    <t>Construct two HOV lanes between SR 94 and I-8.</t>
  </si>
  <si>
    <t>Construct two HOV lanes and north facing Direct Access Ramp (DAR) at Carroll Canyon Road, and extend Carroll Canyon Road as a four-lane arterial from Scranton Road to Sorrento Valley Road.</t>
  </si>
  <si>
    <t>Construct two HOV lanes and a south-facing direct access ramp (DAR) at Carroll Canyon Road.</t>
  </si>
  <si>
    <t>Add 2 HOV lanes on SR 52 from I-15 to I-805.</t>
  </si>
  <si>
    <t>Addition of a HOV lane connector for the I-805/SR 52 interchange.</t>
  </si>
  <si>
    <t>Add 2 HOV lanes on I-5 from SR 905 to SR 54.</t>
  </si>
  <si>
    <t>Add 2 HOV lanes on I-5 from SR 54 to I-8.</t>
  </si>
  <si>
    <t>Add 2 HOV lanes on I-5 from I-8 to I-805, and environmental and preliminary engineering for I-5/I-8 interchange improvements.</t>
  </si>
  <si>
    <t>Construct northbound HOV lane from Del Mar Heights Road to Manchester Avenue and southbound HOV lane from Sorrento Valley Boulevard to Manchester Avenue. Modify Lomas Santa Fe Avenue interchange and construct auxiliary lanes.</t>
  </si>
  <si>
    <t xml:space="preserve">Construct one HOV lane in each direction, soundwalls, a multi-use facility, and a bike path. </t>
  </si>
  <si>
    <t xml:space="preserve">Construct one HOV lane in each direction, soundwalls, bike trail, and replace the San Elijo Lagoon bridge. </t>
  </si>
  <si>
    <t>Construct one HOV lane in each direction and a southbound auxiliary lane at Cannon Road, community enhancement, soundwalls, long-term plant establishment and, as part of the Batiquitos Lagoon Trail project, a new 0.9 east/west trail.</t>
  </si>
  <si>
    <t>Design of one HOV lane in each direction.</t>
  </si>
  <si>
    <t>Addition of a HOV lane connector for the I-5/I-805 interchange.</t>
  </si>
  <si>
    <t>Add 2 HOV lanes on SR 78 from I-5 to I-15.</t>
  </si>
  <si>
    <t xml:space="preserve">Construct one HOV lane in each direction on SR 56 from El Camino Real (I-5) to Carmel Valley Road. </t>
  </si>
  <si>
    <t>Construct one HOV lane in each direction on SR 56 from Carmel Valley Road to I-15.</t>
  </si>
  <si>
    <t>Construct one HOV lane in each direction, soundwalls, a multi-use facility, and a bike path.</t>
  </si>
  <si>
    <t xml:space="preserve">Corridor study, preliminary engineering and design for the conversion of existing HOV lanes to Express Lanes along the I-5 and I-805 corridors. </t>
  </si>
  <si>
    <t xml:space="preserve">Final environmental document and preliminary engineering for HOV/Managed Lanes direct connectors at SR 78 and I-5. </t>
  </si>
  <si>
    <t xml:space="preserve">Design and construction for HOV/Managed Lanes direct connectors at SR 78 and I-5. </t>
  </si>
  <si>
    <t>Preliminary engineering for HOV/managed lanes in the median of SR 78.</t>
  </si>
  <si>
    <t xml:space="preserve">Environmental studies and preliminary engineering for HOV/Managed Lanes along SR 78. </t>
  </si>
  <si>
    <t>Design and right-of-Way for two HOV lanes and transit connectors between I-805 and SR 15 for northbound to northbound and southbound to southbound HOV and Rapid connection.</t>
  </si>
  <si>
    <t>CC032</t>
  </si>
  <si>
    <t>SR 94 (I-5 to I-15)--8 freeway lanes to 6 freeway lanes and 3 managed lanes</t>
  </si>
  <si>
    <t>Project completed prior to 2015 Regional Plan.</t>
  </si>
  <si>
    <t>TL29: Rapid 235, Escondido to Downtown San Diego via I-15 (Direct Access Ramp stations) 
CC110: I-15 (Clairemont Mesa Boulevard) Direct Access Ramp, North and South</t>
  </si>
  <si>
    <t>Design and construction has not begun so no progress to date to report.</t>
  </si>
  <si>
    <t>Project is 100% complete through environmental phase, which represents 15% of total project scope.</t>
  </si>
  <si>
    <t>Project was completed prior to 2015 Regional Plan.</t>
  </si>
  <si>
    <t>Design is 25% complete. Overall project is 21% complete.</t>
  </si>
  <si>
    <t>Projects completed prior to 2021 Regional Plan. Last included in 2015 Regional Plan, Appendix A page 14.</t>
  </si>
  <si>
    <t>Project completed prior to 2021 Regional Plan. Last included in 2015 Regional Plan, Appendix A page 14.</t>
  </si>
  <si>
    <t xml:space="preserve">Project is open to public and working towards completion of Construction Complete milestone. </t>
  </si>
  <si>
    <t xml:space="preserve">Initial feasibility/environmental studies are 99% complete. </t>
  </si>
  <si>
    <t>CC073: I-15 (SR 78)--East to South and North to West Managed Lane Connector</t>
  </si>
  <si>
    <t>CC032: SR 94 (I-5 to I-15)--8 freeway lanes to 6 freeway lanes and 3 managed lanes</t>
  </si>
  <si>
    <t>CC032, CC033</t>
  </si>
  <si>
    <t>CC032: SR 94 (I-5 to I-15)--8 freeway lanes to 6 freeway lanes and 3 managed lanes
CC033: SR 94 (I-15 to I-805)--8 freeway lanes to 6 freeway lanes and 3 managed lanes</t>
  </si>
  <si>
    <t>I-5: SR 54 to I-8 (Consruction)</t>
  </si>
  <si>
    <t>I-5 from SR 54 to I-8</t>
  </si>
  <si>
    <t>Final environmental clearance, design, and construction of 2 HOV lanes on I-5 from SR 54 to I-8.</t>
  </si>
  <si>
    <t xml:space="preserve">TL29: Rapid 235, Escondido to Downtown San Diego via I-15 (DAR stations) </t>
  </si>
  <si>
    <t>CC110: I-15 (Clairemont Mesa Boulevard) Direct Access Ramp, North and South</t>
  </si>
  <si>
    <t>Only initial CMCP studies have been completed. Environmental clearance has not begun.</t>
  </si>
  <si>
    <t>Initial CMCP report is complete. Work on feasbility of rail grade separations will begin in FY 2025.</t>
  </si>
  <si>
    <t>CC016, CC017, CC018</t>
  </si>
  <si>
    <t>CC018, CC019</t>
  </si>
  <si>
    <t>On I-5 from Sea World Drive to I-805</t>
  </si>
  <si>
    <t>Add HOV lane on I-5 from Sea World Drive to I-805.</t>
  </si>
  <si>
    <t>CC017, CC018</t>
  </si>
  <si>
    <t>Project completed prior to 2021 Regional Plan. Last included in 2015 Regional Plan, Appendix A page 3.</t>
  </si>
  <si>
    <t>Project completed prior to 2021 Regional Plan. Last included in 2015 Regional Plan, Appendix A page 6.</t>
  </si>
  <si>
    <t>Project completed prior to 2021 Regional Plan.  Last included in 2015 Regional Plan, Appendix A page 6.</t>
  </si>
  <si>
    <t>CC016: I-805 (SR 905 to Palm Avenue)--8 freeway lanes to 6 freeway lanes and 4 managed lanes
CC017: I-805 (Palm Ave to H Street)--converting 2 freeway lanes to 2 managed lanes
CC018: I-805 (H Street to I-15)--converting 2 freeway lanes to 2 managed lanes</t>
  </si>
  <si>
    <t>Project completed prior to 2021 Regional Plan. Last included in 2015 Regional Plan, Appendix A page 53.</t>
  </si>
  <si>
    <t>CC018: I-805 (H Street to I-15)--converting 2 freeway lanes to 2 managed lanes
CC019: I-805 (SR 15 to I-8)--convert 2 freeway lanes to 2 managed lanes, add 2 new managed lanes</t>
  </si>
  <si>
    <t>CC018: I-805 (H Street to I-15)--converting 2 freeway lanes to 2 managed lanes.
CC019: I-805 (SR 15 to I-8)--convert 2 freeway lanes to 2 managed lanes, add 2 new managed lanes</t>
  </si>
  <si>
    <t>CC020 - CC022</t>
  </si>
  <si>
    <t>CC020: I-805 (I-8 to Mesa College Drive)--convert 10 freeway lanes to 6 freeway lanes and 4 managed lanes
CC021: I-805 (Mesa College Drive to Balboa Avenue)--convert 2 freeway lanes to 2 managed lanes, add 2 new managed lanes
CC022: I-805 (Balboa Avenue to Northbound Bypass Lane)--convert 2 freeway lanes to 2 managed lanes</t>
  </si>
  <si>
    <t>CC120: I-805 Active Transportation and Demand Management
CC020: I-805 (I-8 to Mesa College Drive)--convert 10 freeway lanes to 6 freeway lanes and 4 managed lanes
CC021: I-805 (Mesa College Drive to Balboa Avenue)--convert 2 freeway lanes to 2 managed lanes, add 2 new managed lanes
CC022: I-805 (Balboa Avenue to Northbound Bypass Lane)--convert 2 freeway lanes to 2 managed lanes</t>
  </si>
  <si>
    <t>CC120, CC020 - CC022</t>
  </si>
  <si>
    <t>CC019 - CC022</t>
  </si>
  <si>
    <t>CC019: I-805 (SR 15 to I-8)--convert 2 freeway lanes to 2 managed lanes, add 2 new managed lanes
CC020: I-805 (I-8 to Mesa College Drive)--convert 10 freeway lanes to 6 freeway lanes and 4 managed lanes
CC021: I-805 (Mesa College Drive to Balboa Avenue)--convert 2 freeway lanes to 2 managed lanes, add 2 new managed lanes
CC022: I-805 (Balboa Avenue to Northbound Bypass Lane)--convert 2 freeway lanes to 2 managed lanes</t>
  </si>
  <si>
    <t>CC022: I-805 (Balboa Avenue to Northbound Bypass Lane)--convert 2 freeway lanes to 2 managed lanes</t>
  </si>
  <si>
    <t>CC093</t>
  </si>
  <si>
    <t>CC018, CC083, CC084</t>
  </si>
  <si>
    <t>CC093: I-805/SR 54 managed lane connector (MLC), south to east and west to north</t>
  </si>
  <si>
    <t>CC018: I-805 (H Street to I-15)--converting 2 freeway lanes to 2 managed lanes.
CC083: I-805/SR 14 MLC, north to north and south to south
CC084: I-805/SR 94 MLC, north to west and east to south</t>
  </si>
  <si>
    <t>Design and construct 4 managed lanes at the I-5/ I-805 merge.</t>
  </si>
  <si>
    <t>Project completed prior to 2021 Regional Plan. Last included in 2015 Regional Plan, Appendix A page 29.</t>
  </si>
  <si>
    <t>CC019: I-805 (SR 15 to I-8)--convert 2 freeway lanes to 2 managed lanes, add 2 new managed lanes</t>
  </si>
  <si>
    <t>CC033: SR 94 (I-15 to I-805)--8 freeway lanes to 6 freeway lanes+3 managed lanes</t>
  </si>
  <si>
    <t>CC033: SR 94 (I-15 to I-805)--8 freeway lanes to 6 freeway lanes +3 managed lanes</t>
  </si>
  <si>
    <t>CC029</t>
  </si>
  <si>
    <t>CC029: SR 52 (I-805 to I-15)-- 6 freeway lanes to 4 freeway lanes and 3 managed lanes</t>
  </si>
  <si>
    <t>CC085: I-805/SR 52 MLC, west to north and south to east
CC086: I-805/SR 52 MLC, north to west and east to south</t>
  </si>
  <si>
    <t>CC085, CC086</t>
  </si>
  <si>
    <t>CC001, CC002</t>
  </si>
  <si>
    <t xml:space="preserve">CC001: I-5 (SR 905 to H Street)--8 freeway lanes to 6 freeeway lanes+2 managed lanes 
CC002: I-5 (H Street to Pacific Hwy)--8 freeway lanes to 6 freeeway lanes+4 managed lanes </t>
  </si>
  <si>
    <t xml:space="preserve">CC002: I-5 (H Street to Pacific Hwy)--8 freeway lanes to 6 freeeway lanes+4 managed lanes </t>
  </si>
  <si>
    <t xml:space="preserve">I-5/I-805 HOV Conversion to Express Lanes </t>
  </si>
  <si>
    <t>CC007: I-5 (Via de La Valle to La Costa)--8 freeway lanes to 6 freeway lanes+4 managed lanes
CC008: I-5 (La Costa to Cassidy Street), 8 freeway lanes to 6 freeway lanes+4 managed lanes
CC046: I-5 (Manchester to Vandegrift), 8 freeway lanes to 8 freeway lanes+2 HOV/HOT lanes</t>
  </si>
  <si>
    <t>CC005: I-5 (I-805 to SR 56)--8/14 freeway lanes+2 HOV lanes to 6/12 freeway lanes+4 managed lanes 
CC006: I-5 (SR 56 to Via de La Valle)--8 freeway lanes/10 freeway lanes+2 HOV lanes to 6 freeway lanes/8 freeway lanes+4 managed lanes
CC007: I-5 (Via de La Valle to La Costa)--8 freeway lanes to 6 freeway lanes+4 managed lanes
CC008: I-5 (La Costa to Cassidy Street)--8 freeway lanes to 6 freeway lanes+4 managed lanes
CC046: I-5 (Manchester to Vandegrift)--8 freeway lanes to 8 freeway lanes+2 HOV/HOT lanes</t>
  </si>
  <si>
    <t>CC007: I-5 (Via de La Valle to La Costa)--8 freeway lanes to 6 freeway lanes+4 managed lanes
CC046: I-5 (Manchester to Vandegrift)--8 freeway lanes to 8 freeway lanes+2 HOV/HOT lanes</t>
  </si>
  <si>
    <t>CC017: I-805 (Palm Avenue to H Street)--converting 2 freeway lanes to 2 managed lanes.
CC018: I-805 (H Street to I-15)--converting 2 freeway lanes to 2 managed lanes.</t>
  </si>
  <si>
    <t>CC003, CC004</t>
  </si>
  <si>
    <t>CC003: I-5 (Pacific Hwy to SR 52)--8 freeway lanes to 6 freeway lanes+4 managed lanes
CC004: I-5 (SR 52 to I-805)--8 freeway lanes to 6 freeway lanes+4 managed lanes</t>
  </si>
  <si>
    <t>CC004: I-5 (SR 52 to I-805)--8 freeway lanes to 6 freeway lanes+4 managed lanes</t>
  </si>
  <si>
    <t>CC005: I-5 (I-805 to SR 56)--8F/14F+2HOV to 6F/12F+4ML (managed lanes)</t>
  </si>
  <si>
    <t xml:space="preserve">CC005: I-5 (I-805 to SR 56), 8F/14F+2HOV to 6F/12F+4ML </t>
  </si>
  <si>
    <t>CC006: I-5 (SR 56 to Via de La Valle)--8/10 freeway lanes+2 HOV lanes to 6/8 freeway lanes+4 managed lanes
CC007: I-5 (Via de La Valle to La Costa), 8 freeway lanes to 6 freeway lanes +4 managed lanes
CC046: I-5 (Manchester to Vandegrift)--8 freeway lanes to 8 freeway lanes+2 HOV/HOT lanes</t>
  </si>
  <si>
    <t>CC006, CC007, CC046</t>
  </si>
  <si>
    <t>CC007: I-5 (Via de La Valle to La Costa)--8 freeway lanes to 6 freeway lanes+4 managed lanes
CC008: I-5 (La Costa to Cassidy Street)--8 freeway lanes to 6 freeway lanes+4 managed lanes
CC046: I-5 (Manchester to Vandegrift)--8 freeway lanes to 8 freeway lanes+2 HOV/HOT lanes</t>
  </si>
  <si>
    <t>CC008: I-5 (La Costa to Cassidy Street)--8 freeway lanes to 6 freeway lanes+4 managed lanes
CC046: I-5 (Manchester to Vandegrift)--8 freeway lanes to 8 freeway lanes+2 HOV/HOT lanes</t>
  </si>
  <si>
    <t>CC009: I-5 (Cassidy Street to Harbor Drive)--8 freeway lanes to 6 freeway lanes + 4 managed lanes
CC046: I-5 (Manchester to Vandegrift)--8 freeway lanes to 8 freeway lanes+ 2 HOV/HOT lanes</t>
  </si>
  <si>
    <t>Improvements updated from 4 managed lanes to 2 managed lanes due to updated state legislation and impact on environmental.</t>
  </si>
  <si>
    <t>I-5/SR 56--West to North and South to East freeway connector</t>
  </si>
  <si>
    <t>CC105: I-5/SR 78--South to East and West to South freeway connector
CC064: I-5/SR 78--South to East and West to North, North to East and West to South Managed Lane Connector</t>
  </si>
  <si>
    <t>Final environmental document is 100% complete. Design and construction scope remain.</t>
  </si>
  <si>
    <t>Design has not begun so no progress to date to report.</t>
  </si>
  <si>
    <t>TL05</t>
  </si>
  <si>
    <t>TL06</t>
  </si>
  <si>
    <t>Environmental phase is 95% complete. Overall project (through construction) is 15% complete.</t>
  </si>
  <si>
    <t>TL07</t>
  </si>
  <si>
    <t>I-5/I-805--North to North and South to South Managed Lane connector</t>
  </si>
  <si>
    <t>Environmental clearance is 100% complete and design is 30% complete. Overall project is 23% complete.</t>
  </si>
  <si>
    <t>Environmental clearance is 100% complete and design is 90% complete. Overall project is 38% complete.</t>
  </si>
  <si>
    <t>Scope of project is just preliminary enginnering (PE). PE is 80% complete.</t>
  </si>
  <si>
    <t>Design phase is 75% complete. Overall project is 34% complete. Construction will occur on 1239822 and 1239824.</t>
  </si>
  <si>
    <t xml:space="preserve">CC030: SR 52 (I-15 to Mast Boulevard)--6 freeway lanes to 4 freeway lanes+ 3 managed lanes 
CC031: SR 52 (Mast Boulevard to SR 125)--4 freeway lanes to 4 freeway lanes+ 3 managed lanes </t>
  </si>
  <si>
    <t>C034: SR 94 (I-805 to SR 125)--8 freeway lanes to 6 freeway lanes+3 managed lanes
CC042: SR 125 (SR 54 to Amaya Drive)--6/8 freeway lanes to 4/6 freeway lanes+ 2 managed lanes</t>
  </si>
  <si>
    <t>Preliminary engineering is 60% complete. Entire project, considering future environmental clearance, design, and construction, is 3% complete.</t>
  </si>
  <si>
    <t xml:space="preserve">CC040: SR 54 (I-805 to SR 125), 6 freeway lanes to 4 freeway lanes+2 managed lanes
CC042: SR 125 (SR 54 to Amaya Drive), 6/8 freeway lanes to 4/6 freeway lanes+2 managed lanes
</t>
  </si>
  <si>
    <t>SR 67 (Mapleview to Dye Road)--Shoulder Widening/Straightening; new lanes will be for use during emergencies only</t>
  </si>
  <si>
    <t>I-8 (Mollison Avenue to Greenfield Drive)--4/6 freeway lanes to 4 freeway lanes+4 managed lanes</t>
  </si>
  <si>
    <t>CC036: SR 78 (I-5 to Twin Oaks)--6 freeway lanes to 4 freeway lanes+4 managed lanes+connectors
CC037: SR 78 (Twin Oaks to I-15)--6 freeway lanes to 4 freeway lanes+4 managed lanes</t>
  </si>
  <si>
    <t>CC036: SR 78 (I-5 to Twin Oaks)--6 freeway lanes to 4 freeway lanes+4 managed lanes+connectors</t>
  </si>
  <si>
    <t>CC036</t>
  </si>
  <si>
    <t>BRT Route 471 Improvements</t>
  </si>
  <si>
    <t>BRT improvements include: vehicles, signal priority and other arterial improvements, building 18 stations, and 15-minute peak / 30-minute off peak service by 2020.</t>
  </si>
  <si>
    <t>Regionwide improvements</t>
  </si>
  <si>
    <t>Project completed prior to 2021 Regional Plan. Last included in 2015 Regional Plan, Appendix A page 7.</t>
  </si>
  <si>
    <t>SR 56 (I-5 to I-15)-- 4 freeway lanes to 4 freeway lanes+ 3 managed lanes</t>
  </si>
  <si>
    <t>Project is 40% complete through design. Overall project scope is 25% complete.</t>
  </si>
  <si>
    <t>CC045</t>
  </si>
  <si>
    <t>SR 11/Otay Mesa East Port of Entry (Enrico Fermi to Mexico)--4 tolls and port of entry</t>
  </si>
  <si>
    <t>GM01</t>
  </si>
  <si>
    <t>Otay Mesa Commercial Vehicle Enforcement Facility (CVEF) Modernization</t>
  </si>
  <si>
    <t>Project scope is just for traffic and revenue study. No construction activity occurred under this CIP.</t>
  </si>
  <si>
    <t>Project scope was for design phase only. Construction took place on CIP 1201103.</t>
  </si>
  <si>
    <t>Project completed prior to 2021 Regional Plan. Last included in 2015 Regional Plan, Appendix A page 5.</t>
  </si>
  <si>
    <t>CC148</t>
  </si>
  <si>
    <t>SR 125 (SR 905)--South to West Managed Lane Connector</t>
  </si>
  <si>
    <t>CC045, CC148, GM01, GM03, TL47, TL53, TL59</t>
  </si>
  <si>
    <t>Project completed prior to 2021 Regional Plan. Last included in 2015 Regional Plan, Appendix A page 34.</t>
  </si>
  <si>
    <t>Project completed prior to 2021 Regional Plan. Last included in 2015 Regional Plan, Appendix A page 6-7.</t>
  </si>
  <si>
    <t>TL12</t>
  </si>
  <si>
    <t>Blue Line Improvements</t>
  </si>
  <si>
    <t xml:space="preserve">Project scope is through environmental clearance phase. Project now part of SR 94 Transit Priority Lanes (I-805 to I-5) under CIP 1280518. </t>
  </si>
  <si>
    <t>Project scope is through environmental clearance phase. Project now part of SR 94 Transit Priority Lanes (I-805 to I-5) under CIP 1280518.</t>
  </si>
  <si>
    <t>Project scope is through environmental clearance only.</t>
  </si>
  <si>
    <t>Environmental document is 7% complete. Overall project is 6% complete when considering future design and construction.</t>
  </si>
  <si>
    <t>Final environmental clearance 100% complete. Overall project is 15% complete.</t>
  </si>
  <si>
    <t>Final environmental clearance is 100% complete.</t>
  </si>
  <si>
    <t>Project included preliminary engineering analyses only.</t>
  </si>
  <si>
    <t>As of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</si>
</sst>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5" formatCode="_(&quot;$&quot;* #,##0_);_(&quot;$&quot;* \(#,##0\);_(&quot;$&quot;* &quot;-&quot;??_);_(@_)"/>
    <numFmt numFmtId="166" formatCode="0.0%"/>
  </numFmts>
  <fonts count="30" x14ac:knownFonts="1">
    <font>
      <sz val="10"/>
      <color rgb="FF000000"/>
      <name val="Arial"/>
      <scheme val="minor"/>
    </font>
    <font>
      <sz val="8"/>
      <name val="Arial"/>
      <family val="2"/>
      <scheme val="minor"/>
    </font>
    <font>
      <sz val="10"/>
      <color rgb="FF000000"/>
      <name val="Arial"/>
      <family val="2"/>
      <scheme val="minor"/>
    </font>
    <font>
      <sz val="9"/>
      <color rgb="FF000000"/>
      <name val="Montserrat"/>
    </font>
    <font>
      <sz val="10"/>
      <color rgb="FF000000"/>
      <name val="Montserrat"/>
    </font>
    <font>
      <b/>
      <sz val="12"/>
      <color rgb="FF000000"/>
      <name val="Montserrat"/>
    </font>
    <font>
      <b/>
      <sz val="9"/>
      <color theme="0"/>
      <name val="Montserrat"/>
    </font>
    <font>
      <b/>
      <sz val="10"/>
      <color rgb="FF000000"/>
      <name val="Montserrat"/>
    </font>
    <font>
      <b/>
      <sz val="9"/>
      <color rgb="FF000000"/>
      <name val="Montserrat"/>
    </font>
    <font>
      <b/>
      <i/>
      <sz val="9"/>
      <color rgb="FF000000"/>
      <name val="Montserrat"/>
    </font>
    <font>
      <b/>
      <i/>
      <sz val="10"/>
      <color theme="1"/>
      <name val="Montserrat"/>
    </font>
    <font>
      <b/>
      <i/>
      <sz val="10"/>
      <color rgb="FF000000"/>
      <name val="Montserrat"/>
    </font>
    <font>
      <sz val="10"/>
      <color theme="1"/>
      <name val="Montserrat"/>
    </font>
    <font>
      <i/>
      <sz val="10"/>
      <color rgb="FF000000"/>
      <name val="Montserrat"/>
    </font>
    <font>
      <i/>
      <sz val="9"/>
      <color rgb="FF000000"/>
      <name val="Montserrat"/>
    </font>
    <font>
      <sz val="10"/>
      <color rgb="FFFF0000"/>
      <name val="Montserrat"/>
    </font>
    <font>
      <sz val="10"/>
      <color rgb="FF0070C0"/>
      <name val="Montserrat"/>
    </font>
    <font>
      <sz val="10"/>
      <color rgb="FF00B050"/>
      <name val="Montserrat"/>
    </font>
    <font>
      <sz val="9"/>
      <color theme="1"/>
      <name val="Montserrat"/>
    </font>
    <font>
      <sz val="10"/>
      <color theme="3"/>
      <name val="Montserrat"/>
    </font>
    <font>
      <sz val="9"/>
      <color theme="3"/>
      <name val="Montserrat"/>
    </font>
    <font>
      <b/>
      <sz val="11"/>
      <color rgb="FFFF0000"/>
      <name val="Montserrat"/>
    </font>
    <font>
      <sz val="10"/>
      <name val="Montserrat"/>
    </font>
    <font>
      <sz val="9"/>
      <name val="Montserrat"/>
    </font>
    <font>
      <b/>
      <sz val="16"/>
      <color rgb="FF000000"/>
      <name val="Montserrat"/>
    </font>
    <font>
      <b/>
      <i/>
      <sz val="10"/>
      <name val="Montserrat"/>
    </font>
    <font>
      <i/>
      <sz val="10"/>
      <name val="Montserrat"/>
    </font>
    <font>
      <i/>
      <sz val="10"/>
      <color theme="1"/>
      <name val="Montserrat"/>
    </font>
    <font>
      <sz val="9"/>
      <color rgb="FFC00000"/>
      <name val="Montserrat"/>
    </font>
    <font>
      <b/>
      <i/>
      <sz val="11"/>
      <color rgb="FF00B050"/>
      <name val="Montserrat"/>
    </font>
  </fonts>
  <fills count="10">
    <fill>
      <patternFill patternType="none"/>
    </fill>
    <fill>
      <patternFill patternType="gray125"/>
    </fill>
    <fill>
      <patternFill patternType="solid">
        <fgColor rgb="FF0070C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E65E1A"/>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diagonal/>
    </border>
    <border>
      <left style="thin">
        <color theme="1"/>
      </left>
      <right style="thin">
        <color theme="1"/>
      </right>
      <top style="thin">
        <color theme="1"/>
      </top>
      <bottom style="thin">
        <color theme="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right/>
      <top style="mediumDashed">
        <color indexed="64"/>
      </top>
      <bottom/>
      <diagonal/>
    </border>
    <border>
      <left style="thin">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style="medium">
        <color indexed="64"/>
      </left>
      <right/>
      <top style="mediumDashDot">
        <color indexed="64"/>
      </top>
      <bottom style="medium">
        <color indexed="64"/>
      </bottom>
      <diagonal/>
    </border>
    <border>
      <left/>
      <right/>
      <top style="mediumDashDot">
        <color indexed="64"/>
      </top>
      <bottom style="medium">
        <color indexed="64"/>
      </bottom>
      <diagonal/>
    </border>
    <border>
      <left style="thin">
        <color indexed="64"/>
      </left>
      <right style="thin">
        <color indexed="64"/>
      </right>
      <top style="mediumDashDot">
        <color indexed="64"/>
      </top>
      <bottom style="medium">
        <color indexed="64"/>
      </bottom>
      <diagonal/>
    </border>
    <border>
      <left style="thin">
        <color theme="1"/>
      </left>
      <right style="thin">
        <color indexed="64"/>
      </right>
      <top style="thin">
        <color theme="1"/>
      </top>
      <bottom style="thin">
        <color indexed="64"/>
      </bottom>
      <diagonal/>
    </border>
    <border>
      <left style="thin">
        <color indexed="64"/>
      </left>
      <right style="thin">
        <color indexed="64"/>
      </right>
      <top style="mediumDashed">
        <color auto="1"/>
      </top>
      <bottom/>
      <diagonal/>
    </border>
    <border>
      <left/>
      <right/>
      <top style="mediumDashDot">
        <color auto="1"/>
      </top>
      <bottom/>
      <diagonal/>
    </border>
    <border>
      <left style="thin">
        <color indexed="64"/>
      </left>
      <right style="thin">
        <color indexed="64"/>
      </right>
      <top style="mediumDashDot">
        <color auto="1"/>
      </top>
      <bottom style="thin">
        <color indexed="64"/>
      </bottom>
      <diagonal/>
    </border>
    <border>
      <left style="thin">
        <color indexed="64"/>
      </left>
      <right style="thin">
        <color indexed="64"/>
      </right>
      <top style="mediumDashDot">
        <color auto="1"/>
      </top>
      <bottom/>
      <diagonal/>
    </border>
    <border>
      <left style="thin">
        <color indexed="64"/>
      </left>
      <right/>
      <top style="medium">
        <color indexed="64"/>
      </top>
      <bottom/>
      <diagonal/>
    </border>
    <border>
      <left style="thin">
        <color indexed="64"/>
      </left>
      <right/>
      <top style="mediumDashDot">
        <color auto="1"/>
      </top>
      <bottom/>
      <diagonal/>
    </border>
    <border>
      <left/>
      <right/>
      <top style="mediumDashDot">
        <color auto="1"/>
      </top>
      <bottom style="mediumDashed">
        <color indexed="64"/>
      </bottom>
      <diagonal/>
    </border>
    <border>
      <left style="thin">
        <color indexed="64"/>
      </left>
      <right style="thin">
        <color indexed="64"/>
      </right>
      <top style="mediumDashDot">
        <color auto="1"/>
      </top>
      <bottom style="mediumDashed">
        <color indexed="64"/>
      </bottom>
      <diagonal/>
    </border>
    <border>
      <left/>
      <right style="thin">
        <color indexed="64"/>
      </right>
      <top style="mediumDashDot">
        <color auto="1"/>
      </top>
      <bottom style="medium">
        <color indexed="64"/>
      </bottom>
      <diagonal/>
    </border>
    <border>
      <left style="thin">
        <color indexed="64"/>
      </left>
      <right/>
      <top style="mediumDashDot">
        <color auto="1"/>
      </top>
      <bottom style="mediumDashed">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rgb="FF000000"/>
      </bottom>
      <diagonal/>
    </border>
    <border>
      <left/>
      <right/>
      <top style="thin">
        <color indexed="64"/>
      </top>
      <bottom style="thin">
        <color indexed="64"/>
      </bottom>
      <diagonal/>
    </border>
    <border>
      <left/>
      <right/>
      <top/>
      <bottom style="mediumDashDot">
        <color auto="1"/>
      </bottom>
      <diagonal/>
    </border>
    <border>
      <left style="thin">
        <color indexed="64"/>
      </left>
      <right style="thin">
        <color indexed="64"/>
      </right>
      <top style="thin">
        <color indexed="64"/>
      </top>
      <bottom style="mediumDashDot">
        <color auto="1"/>
      </bottom>
      <diagonal/>
    </border>
    <border>
      <left style="thin">
        <color indexed="64"/>
      </left>
      <right style="thin">
        <color indexed="64"/>
      </right>
      <top/>
      <bottom style="mediumDashDot">
        <color auto="1"/>
      </bottom>
      <diagonal/>
    </border>
    <border>
      <left style="thin">
        <color indexed="64"/>
      </left>
      <right/>
      <top/>
      <bottom style="mediumDashDot">
        <color auto="1"/>
      </bottom>
      <diagonal/>
    </border>
    <border>
      <left style="thin">
        <color indexed="64"/>
      </left>
      <right/>
      <top style="mediumDashDot">
        <color auto="1"/>
      </top>
      <bottom style="medium">
        <color indexed="64"/>
      </bottom>
      <diagonal/>
    </border>
    <border>
      <left/>
      <right/>
      <top style="medium">
        <color indexed="64"/>
      </top>
      <bottom style="mediumDashDot">
        <color indexed="64"/>
      </bottom>
      <diagonal/>
    </border>
    <border>
      <left style="thin">
        <color indexed="64"/>
      </left>
      <right style="thin">
        <color indexed="64"/>
      </right>
      <top style="medium">
        <color indexed="64"/>
      </top>
      <bottom style="mediumDashDot">
        <color indexed="64"/>
      </bottom>
      <diagonal/>
    </border>
    <border>
      <left style="thin">
        <color indexed="64"/>
      </left>
      <right/>
      <top style="medium">
        <color indexed="64"/>
      </top>
      <bottom style="mediumDashDot">
        <color indexed="64"/>
      </bottom>
      <diagonal/>
    </border>
    <border>
      <left style="thin">
        <color indexed="64"/>
      </left>
      <right/>
      <top style="thin">
        <color indexed="64"/>
      </top>
      <bottom style="mediumDashDot">
        <color auto="1"/>
      </bottom>
      <diagonal/>
    </border>
    <border>
      <left/>
      <right/>
      <top style="dashed">
        <color auto="1"/>
      </top>
      <bottom/>
      <diagonal/>
    </border>
    <border>
      <left style="thin">
        <color indexed="64"/>
      </left>
      <right style="thin">
        <color indexed="64"/>
      </right>
      <top style="dashed">
        <color auto="1"/>
      </top>
      <bottom/>
      <diagonal/>
    </border>
    <border>
      <left style="thin">
        <color indexed="64"/>
      </left>
      <right style="thin">
        <color indexed="64"/>
      </right>
      <top style="dashed">
        <color auto="1"/>
      </top>
      <bottom style="thin">
        <color indexed="64"/>
      </bottom>
      <diagonal/>
    </border>
    <border>
      <left style="thin">
        <color indexed="64"/>
      </left>
      <right/>
      <top style="dashed">
        <color auto="1"/>
      </top>
      <bottom/>
      <diagonal/>
    </border>
    <border>
      <left/>
      <right style="thin">
        <color indexed="64"/>
      </right>
      <top/>
      <bottom style="mediumDashDot">
        <color auto="1"/>
      </bottom>
      <diagonal/>
    </border>
    <border>
      <left/>
      <right/>
      <top style="thin">
        <color indexed="64"/>
      </top>
      <bottom style="mediumDashDot">
        <color indexed="64"/>
      </bottom>
      <diagonal/>
    </border>
  </borders>
  <cellStyleXfs count="2">
    <xf numFmtId="0" fontId="0" fillId="0" borderId="0"/>
    <xf numFmtId="44" fontId="2" fillId="0" borderId="0" applyFont="0" applyFill="0" applyBorder="0" applyAlignment="0" applyProtection="0"/>
  </cellStyleXfs>
  <cellXfs count="608">
    <xf numFmtId="0" fontId="0" fillId="0" borderId="0" xfId="0"/>
    <xf numFmtId="0" fontId="3" fillId="0" borderId="0" xfId="0" applyFont="1"/>
    <xf numFmtId="0" fontId="4" fillId="0" borderId="0" xfId="0" applyFont="1"/>
    <xf numFmtId="9" fontId="4" fillId="0" borderId="0" xfId="0" applyNumberFormat="1" applyFont="1" applyAlignment="1">
      <alignment horizontal="center" vertical="center"/>
    </xf>
    <xf numFmtId="0" fontId="3" fillId="0" borderId="0" xfId="0" applyFont="1" applyAlignment="1">
      <alignment horizontal="center" vertical="center"/>
    </xf>
    <xf numFmtId="0" fontId="6" fillId="2" borderId="0" xfId="0" applyFont="1" applyFill="1" applyAlignment="1">
      <alignment horizontal="center" vertical="center" textRotation="90"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center" vertical="center" textRotation="90" wrapText="1"/>
    </xf>
    <xf numFmtId="0" fontId="9" fillId="0" borderId="0" xfId="0" applyFont="1" applyAlignment="1">
      <alignment vertical="center"/>
    </xf>
    <xf numFmtId="0" fontId="3" fillId="0" borderId="12" xfId="0" applyFont="1" applyBorder="1" applyAlignment="1">
      <alignment vertical="center"/>
    </xf>
    <xf numFmtId="0" fontId="3" fillId="0" borderId="0" xfId="0" applyFont="1" applyAlignment="1">
      <alignment vertical="center"/>
    </xf>
    <xf numFmtId="0" fontId="12" fillId="0" borderId="1" xfId="0" applyFont="1" applyBorder="1" applyAlignment="1">
      <alignment vertical="center"/>
    </xf>
    <xf numFmtId="9" fontId="4" fillId="0" borderId="1" xfId="0" applyNumberFormat="1" applyFont="1" applyBorder="1" applyAlignment="1">
      <alignment horizontal="center" vertical="center"/>
    </xf>
    <xf numFmtId="165" fontId="4" fillId="0" borderId="1" xfId="1" applyNumberFormat="1" applyFont="1" applyBorder="1" applyAlignment="1">
      <alignment vertical="center"/>
    </xf>
    <xf numFmtId="165" fontId="4" fillId="0" borderId="1" xfId="1" applyNumberFormat="1" applyFont="1" applyBorder="1" applyAlignment="1">
      <alignment horizontal="center" vertical="center"/>
    </xf>
    <xf numFmtId="0" fontId="4" fillId="0" borderId="1"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12" fillId="0" borderId="9" xfId="0" applyFont="1" applyBorder="1" applyAlignment="1">
      <alignment vertical="center"/>
    </xf>
    <xf numFmtId="0" fontId="12" fillId="0" borderId="9" xfId="0" applyFont="1" applyBorder="1" applyAlignment="1">
      <alignment vertical="center" wrapText="1"/>
    </xf>
    <xf numFmtId="0" fontId="12" fillId="0" borderId="2" xfId="0" applyFont="1" applyBorder="1" applyAlignment="1">
      <alignment vertical="center"/>
    </xf>
    <xf numFmtId="9" fontId="4" fillId="0" borderId="2" xfId="0" applyNumberFormat="1" applyFont="1" applyBorder="1" applyAlignment="1">
      <alignment horizontal="center" vertical="center"/>
    </xf>
    <xf numFmtId="165" fontId="4" fillId="0" borderId="2" xfId="1" applyNumberFormat="1" applyFont="1" applyFill="1" applyBorder="1" applyAlignment="1">
      <alignment horizontal="center" vertical="center"/>
    </xf>
    <xf numFmtId="0" fontId="4" fillId="0" borderId="2" xfId="0" applyFont="1" applyBorder="1" applyAlignment="1">
      <alignment vertical="center"/>
    </xf>
    <xf numFmtId="0" fontId="4" fillId="0" borderId="2" xfId="0" applyFont="1" applyBorder="1" applyAlignment="1">
      <alignment vertical="center" wrapText="1"/>
    </xf>
    <xf numFmtId="0" fontId="12" fillId="0" borderId="16" xfId="0" applyFont="1" applyBorder="1" applyAlignment="1">
      <alignment vertical="center"/>
    </xf>
    <xf numFmtId="9" fontId="4" fillId="0" borderId="16" xfId="0" applyNumberFormat="1" applyFont="1" applyBorder="1" applyAlignment="1">
      <alignment horizontal="center" vertical="center"/>
    </xf>
    <xf numFmtId="0" fontId="4" fillId="0" borderId="16" xfId="0" applyFont="1" applyBorder="1" applyAlignment="1">
      <alignment vertical="center"/>
    </xf>
    <xf numFmtId="0" fontId="9" fillId="5" borderId="0" xfId="0" applyFont="1" applyFill="1" applyAlignment="1">
      <alignment vertical="center"/>
    </xf>
    <xf numFmtId="0" fontId="10" fillId="5" borderId="2" xfId="0" applyFont="1" applyFill="1" applyBorder="1" applyAlignment="1">
      <alignment vertical="center"/>
    </xf>
    <xf numFmtId="0" fontId="10" fillId="5" borderId="2" xfId="0" applyFont="1" applyFill="1" applyBorder="1" applyAlignment="1">
      <alignment vertical="center" wrapText="1"/>
    </xf>
    <xf numFmtId="9" fontId="11" fillId="5" borderId="2" xfId="0" applyNumberFormat="1" applyFont="1" applyFill="1" applyBorder="1" applyAlignment="1">
      <alignment horizontal="center" vertical="center"/>
    </xf>
    <xf numFmtId="165" fontId="11" fillId="5" borderId="2" xfId="1" applyNumberFormat="1" applyFont="1" applyFill="1" applyBorder="1" applyAlignment="1">
      <alignment horizontal="center" vertical="center"/>
    </xf>
    <xf numFmtId="0" fontId="4" fillId="0" borderId="9" xfId="0" applyFont="1" applyBorder="1" applyAlignment="1">
      <alignment vertical="center" wrapText="1"/>
    </xf>
    <xf numFmtId="0" fontId="11" fillId="5" borderId="2" xfId="0" applyFont="1" applyFill="1" applyBorder="1" applyAlignment="1">
      <alignment vertical="center" wrapText="1"/>
    </xf>
    <xf numFmtId="9" fontId="11" fillId="0" borderId="2" xfId="0" applyNumberFormat="1" applyFont="1" applyBorder="1" applyAlignment="1">
      <alignment horizontal="center" vertical="center"/>
    </xf>
    <xf numFmtId="0" fontId="9" fillId="0" borderId="14" xfId="0" applyFont="1" applyBorder="1" applyAlignment="1">
      <alignment vertical="center"/>
    </xf>
    <xf numFmtId="0" fontId="4" fillId="0" borderId="1" xfId="0" applyFont="1" applyBorder="1" applyAlignment="1">
      <alignment vertical="center" wrapText="1"/>
    </xf>
    <xf numFmtId="165" fontId="4" fillId="0" borderId="2" xfId="1" applyNumberFormat="1" applyFont="1" applyBorder="1" applyAlignment="1">
      <alignment vertical="center"/>
    </xf>
    <xf numFmtId="165" fontId="4" fillId="0" borderId="16" xfId="1" applyNumberFormat="1" applyFont="1" applyBorder="1" applyAlignment="1">
      <alignment vertical="center"/>
    </xf>
    <xf numFmtId="0" fontId="9" fillId="6" borderId="14" xfId="0" applyFont="1" applyFill="1" applyBorder="1" applyAlignment="1">
      <alignment vertical="center"/>
    </xf>
    <xf numFmtId="9" fontId="11" fillId="6" borderId="16" xfId="0" applyNumberFormat="1" applyFont="1" applyFill="1" applyBorder="1" applyAlignment="1">
      <alignment horizontal="center" vertical="center"/>
    </xf>
    <xf numFmtId="165" fontId="11" fillId="6" borderId="16" xfId="1" applyNumberFormat="1" applyFont="1" applyFill="1" applyBorder="1" applyAlignment="1">
      <alignment horizontal="center" vertical="center"/>
    </xf>
    <xf numFmtId="0" fontId="11" fillId="6" borderId="16" xfId="0" applyFont="1" applyFill="1" applyBorder="1" applyAlignment="1">
      <alignment vertical="center"/>
    </xf>
    <xf numFmtId="0" fontId="11" fillId="6" borderId="16" xfId="0" applyFont="1" applyFill="1" applyBorder="1" applyAlignment="1">
      <alignment vertical="center" wrapText="1"/>
    </xf>
    <xf numFmtId="0" fontId="11" fillId="6" borderId="16" xfId="0" applyFont="1" applyFill="1" applyBorder="1" applyAlignment="1">
      <alignment wrapText="1"/>
    </xf>
    <xf numFmtId="165" fontId="11" fillId="6" borderId="16" xfId="1" applyNumberFormat="1" applyFont="1" applyFill="1" applyBorder="1" applyAlignment="1">
      <alignment horizontal="center"/>
    </xf>
    <xf numFmtId="165" fontId="4" fillId="0" borderId="2" xfId="1" applyNumberFormat="1" applyFont="1" applyBorder="1" applyAlignment="1">
      <alignment horizontal="center"/>
    </xf>
    <xf numFmtId="165" fontId="4" fillId="0" borderId="2" xfId="1" applyNumberFormat="1" applyFont="1" applyBorder="1"/>
    <xf numFmtId="0" fontId="4" fillId="0" borderId="2" xfId="0" applyFont="1" applyBorder="1"/>
    <xf numFmtId="165" fontId="4" fillId="0" borderId="1" xfId="1" applyNumberFormat="1" applyFont="1" applyBorder="1" applyAlignment="1">
      <alignment horizontal="center"/>
    </xf>
    <xf numFmtId="165" fontId="4" fillId="0" borderId="1" xfId="1" applyNumberFormat="1" applyFont="1" applyBorder="1"/>
    <xf numFmtId="0" fontId="4" fillId="0" borderId="1" xfId="0" applyFont="1" applyBorder="1"/>
    <xf numFmtId="0" fontId="4" fillId="0" borderId="1" xfId="0" applyFont="1" applyBorder="1" applyAlignment="1">
      <alignment wrapText="1"/>
    </xf>
    <xf numFmtId="0" fontId="3" fillId="0" borderId="1" xfId="0" applyFont="1" applyBorder="1"/>
    <xf numFmtId="0" fontId="4" fillId="0" borderId="2" xfId="0" applyFont="1" applyBorder="1" applyAlignment="1">
      <alignment horizontal="left" vertical="center"/>
    </xf>
    <xf numFmtId="0" fontId="9" fillId="6" borderId="17" xfId="0" applyFont="1" applyFill="1" applyBorder="1" applyAlignment="1">
      <alignment vertical="center"/>
    </xf>
    <xf numFmtId="9" fontId="11" fillId="6" borderId="18" xfId="0" applyNumberFormat="1" applyFont="1" applyFill="1" applyBorder="1" applyAlignment="1">
      <alignment horizontal="center" vertical="center"/>
    </xf>
    <xf numFmtId="0" fontId="11" fillId="6" borderId="18" xfId="0" applyFont="1" applyFill="1" applyBorder="1" applyAlignment="1">
      <alignment vertical="center"/>
    </xf>
    <xf numFmtId="0" fontId="14" fillId="0" borderId="0" xfId="0" applyFont="1"/>
    <xf numFmtId="0" fontId="13" fillId="0" borderId="0" xfId="0" applyFont="1"/>
    <xf numFmtId="9" fontId="13" fillId="0" borderId="0" xfId="0" applyNumberFormat="1" applyFont="1" applyAlignment="1">
      <alignment horizontal="center" vertical="center"/>
    </xf>
    <xf numFmtId="0" fontId="14" fillId="0" borderId="0" xfId="0" applyFont="1" applyAlignment="1">
      <alignment horizontal="left" indent="1"/>
    </xf>
    <xf numFmtId="165" fontId="4" fillId="0" borderId="6" xfId="1" applyNumberFormat="1"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165" fontId="4" fillId="0" borderId="6" xfId="1" applyNumberFormat="1" applyFont="1" applyBorder="1" applyAlignment="1">
      <alignment vertical="center"/>
    </xf>
    <xf numFmtId="165" fontId="11" fillId="6" borderId="18" xfId="1" applyNumberFormat="1" applyFont="1" applyFill="1" applyBorder="1" applyAlignment="1">
      <alignment horizontal="center" vertical="center"/>
    </xf>
    <xf numFmtId="0" fontId="9" fillId="6" borderId="20" xfId="0" applyFont="1" applyFill="1" applyBorder="1" applyAlignment="1">
      <alignment vertical="center"/>
    </xf>
    <xf numFmtId="9" fontId="11" fillId="6" borderId="8" xfId="0" applyNumberFormat="1" applyFont="1" applyFill="1" applyBorder="1" applyAlignment="1">
      <alignment horizontal="center" vertical="center"/>
    </xf>
    <xf numFmtId="0" fontId="9" fillId="6" borderId="11" xfId="0" applyFont="1" applyFill="1" applyBorder="1" applyAlignment="1">
      <alignment vertical="center"/>
    </xf>
    <xf numFmtId="44" fontId="4" fillId="0" borderId="1" xfId="1" applyFont="1" applyBorder="1" applyAlignment="1">
      <alignment vertical="center"/>
    </xf>
    <xf numFmtId="44" fontId="4" fillId="0" borderId="2" xfId="1" applyFont="1" applyBorder="1" applyAlignment="1">
      <alignment horizontal="center" vertical="center"/>
    </xf>
    <xf numFmtId="44" fontId="4" fillId="0" borderId="2" xfId="1" applyFont="1" applyBorder="1" applyAlignment="1">
      <alignment vertical="center"/>
    </xf>
    <xf numFmtId="165" fontId="15" fillId="0" borderId="1" xfId="1" applyNumberFormat="1" applyFont="1" applyBorder="1" applyAlignment="1">
      <alignment horizontal="center" vertical="center"/>
    </xf>
    <xf numFmtId="0" fontId="8" fillId="0" borderId="0" xfId="0" applyFont="1" applyAlignment="1">
      <alignment horizontal="center" vertical="center" textRotation="90" wrapText="1"/>
    </xf>
    <xf numFmtId="0" fontId="9" fillId="0" borderId="14" xfId="0" applyFont="1" applyBorder="1"/>
    <xf numFmtId="0" fontId="9" fillId="0" borderId="20" xfId="0" applyFont="1" applyBorder="1" applyAlignment="1">
      <alignment vertical="center"/>
    </xf>
    <xf numFmtId="0" fontId="9" fillId="0" borderId="17" xfId="0" applyFont="1" applyBorder="1"/>
    <xf numFmtId="165" fontId="16" fillId="0" borderId="9" xfId="1" applyNumberFormat="1" applyFont="1" applyBorder="1" applyAlignment="1">
      <alignment horizontal="center" vertical="center"/>
    </xf>
    <xf numFmtId="0" fontId="16" fillId="0" borderId="1" xfId="0" applyFont="1" applyBorder="1" applyAlignment="1">
      <alignment vertical="center" wrapText="1"/>
    </xf>
    <xf numFmtId="165" fontId="16" fillId="0" borderId="1" xfId="1" applyNumberFormat="1" applyFont="1" applyBorder="1" applyAlignment="1">
      <alignment horizontal="center" vertical="center"/>
    </xf>
    <xf numFmtId="165" fontId="16" fillId="0" borderId="2" xfId="1" applyNumberFormat="1" applyFont="1" applyBorder="1" applyAlignment="1">
      <alignment vertical="center"/>
    </xf>
    <xf numFmtId="165" fontId="16" fillId="0" borderId="1" xfId="1" applyNumberFormat="1" applyFont="1" applyBorder="1" applyAlignment="1">
      <alignment horizontal="center"/>
    </xf>
    <xf numFmtId="165" fontId="12" fillId="0" borderId="1" xfId="1" applyNumberFormat="1" applyFont="1" applyBorder="1"/>
    <xf numFmtId="165" fontId="16" fillId="0" borderId="6" xfId="1" applyNumberFormat="1" applyFont="1" applyBorder="1" applyAlignment="1">
      <alignment horizontal="center" vertical="center"/>
    </xf>
    <xf numFmtId="0" fontId="12" fillId="0" borderId="4" xfId="0" applyFont="1" applyBorder="1" applyAlignment="1">
      <alignment vertical="center"/>
    </xf>
    <xf numFmtId="165" fontId="16" fillId="0" borderId="2" xfId="1" applyNumberFormat="1" applyFont="1" applyBorder="1" applyAlignment="1">
      <alignment horizontal="center" vertical="center"/>
    </xf>
    <xf numFmtId="165" fontId="15" fillId="0" borderId="22" xfId="1" applyNumberFormat="1" applyFont="1" applyBorder="1" applyAlignment="1">
      <alignment horizontal="center" vertical="center"/>
    </xf>
    <xf numFmtId="165" fontId="16" fillId="0" borderId="1" xfId="1" applyNumberFormat="1" applyFont="1" applyBorder="1" applyAlignment="1">
      <alignment horizontal="center" vertical="center" wrapText="1"/>
    </xf>
    <xf numFmtId="165" fontId="12" fillId="0" borderId="1" xfId="1" applyNumberFormat="1" applyFont="1" applyBorder="1" applyAlignment="1">
      <alignment vertical="center"/>
    </xf>
    <xf numFmtId="9" fontId="12" fillId="0" borderId="9" xfId="0" applyNumberFormat="1" applyFont="1" applyBorder="1" applyAlignment="1">
      <alignment horizontal="center" vertical="center"/>
    </xf>
    <xf numFmtId="0" fontId="14"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11" fillId="6" borderId="16" xfId="0" applyFont="1" applyFill="1" applyBorder="1" applyAlignment="1">
      <alignment horizontal="left" vertical="center"/>
    </xf>
    <xf numFmtId="0" fontId="4" fillId="0" borderId="1" xfId="0" applyFont="1" applyBorder="1" applyAlignment="1">
      <alignment horizontal="left" vertical="center"/>
    </xf>
    <xf numFmtId="9" fontId="12" fillId="0" borderId="1" xfId="0" applyNumberFormat="1" applyFont="1" applyBorder="1" applyAlignment="1">
      <alignment horizontal="center" vertical="center"/>
    </xf>
    <xf numFmtId="165" fontId="12" fillId="0" borderId="1" xfId="1" applyNumberFormat="1" applyFont="1" applyBorder="1" applyAlignment="1">
      <alignment horizontal="center" vertical="center"/>
    </xf>
    <xf numFmtId="0" fontId="18" fillId="0" borderId="0" xfId="0" applyFont="1" applyAlignment="1">
      <alignment vertical="center"/>
    </xf>
    <xf numFmtId="0" fontId="12" fillId="0" borderId="23" xfId="0" applyFont="1" applyBorder="1" applyAlignment="1">
      <alignment vertical="center"/>
    </xf>
    <xf numFmtId="165" fontId="12" fillId="0" borderId="9" xfId="1" applyNumberFormat="1" applyFont="1" applyBorder="1" applyAlignment="1">
      <alignment horizontal="center" vertical="center"/>
    </xf>
    <xf numFmtId="0" fontId="18" fillId="0" borderId="14" xfId="0" applyFont="1" applyBorder="1" applyAlignment="1">
      <alignment vertical="center"/>
    </xf>
    <xf numFmtId="9" fontId="19" fillId="0" borderId="22" xfId="0" applyNumberFormat="1" applyFont="1" applyBorder="1" applyAlignment="1">
      <alignment horizontal="center" vertical="center"/>
    </xf>
    <xf numFmtId="165" fontId="19" fillId="0" borderId="22" xfId="1" applyNumberFormat="1" applyFont="1" applyBorder="1" applyAlignment="1">
      <alignment horizontal="center" vertical="center"/>
    </xf>
    <xf numFmtId="0" fontId="20" fillId="0" borderId="0" xfId="0" applyFont="1" applyAlignment="1">
      <alignment vertical="center"/>
    </xf>
    <xf numFmtId="0" fontId="4" fillId="0" borderId="23" xfId="0" applyFont="1" applyBorder="1" applyAlignment="1">
      <alignment vertical="center"/>
    </xf>
    <xf numFmtId="9" fontId="12" fillId="0" borderId="22" xfId="0" applyNumberFormat="1" applyFont="1" applyBorder="1" applyAlignment="1">
      <alignment horizontal="center" vertical="center"/>
    </xf>
    <xf numFmtId="165" fontId="12" fillId="0" borderId="22" xfId="1" applyNumberFormat="1" applyFont="1" applyBorder="1" applyAlignment="1">
      <alignment horizontal="center" vertical="center"/>
    </xf>
    <xf numFmtId="0" fontId="4" fillId="0" borderId="7" xfId="0" applyFont="1" applyBorder="1" applyAlignment="1">
      <alignment vertical="center"/>
    </xf>
    <xf numFmtId="165" fontId="16" fillId="0" borderId="19" xfId="1" applyNumberFormat="1" applyFont="1" applyBorder="1" applyAlignment="1">
      <alignment horizontal="center" vertical="center"/>
    </xf>
    <xf numFmtId="165" fontId="16" fillId="0" borderId="19" xfId="1" applyNumberFormat="1" applyFont="1" applyBorder="1" applyAlignment="1">
      <alignment vertical="center"/>
    </xf>
    <xf numFmtId="165" fontId="15" fillId="0" borderId="1" xfId="1" applyNumberFormat="1" applyFont="1" applyBorder="1"/>
    <xf numFmtId="0" fontId="4" fillId="0" borderId="4" xfId="0" applyFont="1" applyBorder="1" applyAlignment="1">
      <alignment vertical="center"/>
    </xf>
    <xf numFmtId="0" fontId="4" fillId="0" borderId="3" xfId="0" applyFont="1" applyBorder="1" applyAlignment="1">
      <alignment vertical="center"/>
    </xf>
    <xf numFmtId="0" fontId="4" fillId="0" borderId="25" xfId="0" applyFont="1" applyBorder="1" applyAlignment="1">
      <alignment vertical="center"/>
    </xf>
    <xf numFmtId="0" fontId="11" fillId="5" borderId="3" xfId="0" applyFont="1" applyFill="1" applyBorder="1" applyAlignment="1">
      <alignment vertical="center"/>
    </xf>
    <xf numFmtId="0" fontId="4" fillId="0" borderId="3" xfId="0" applyFont="1" applyBorder="1" applyAlignment="1">
      <alignment vertical="center" wrapText="1"/>
    </xf>
    <xf numFmtId="0" fontId="11" fillId="6" borderId="25" xfId="0" applyFont="1" applyFill="1" applyBorder="1" applyAlignment="1">
      <alignment vertical="center"/>
    </xf>
    <xf numFmtId="0" fontId="11" fillId="6" borderId="25" xfId="0" applyFont="1" applyFill="1" applyBorder="1"/>
    <xf numFmtId="0" fontId="4" fillId="0" borderId="4" xfId="0" applyFont="1" applyBorder="1"/>
    <xf numFmtId="0" fontId="11" fillId="6" borderId="26" xfId="0" applyFont="1" applyFill="1" applyBorder="1" applyAlignment="1">
      <alignment vertical="center"/>
    </xf>
    <xf numFmtId="0" fontId="11" fillId="6" borderId="27" xfId="0" applyFont="1" applyFill="1" applyBorder="1"/>
    <xf numFmtId="0" fontId="15" fillId="0" borderId="0" xfId="0" applyFont="1" applyAlignment="1">
      <alignment vertical="center"/>
    </xf>
    <xf numFmtId="0" fontId="12" fillId="0" borderId="19" xfId="0" applyFont="1" applyBorder="1" applyAlignment="1">
      <alignment vertical="center"/>
    </xf>
    <xf numFmtId="9" fontId="4" fillId="0" borderId="19" xfId="0" applyNumberFormat="1" applyFont="1" applyBorder="1" applyAlignment="1">
      <alignment horizontal="center" vertical="center"/>
    </xf>
    <xf numFmtId="165" fontId="4" fillId="0" borderId="19" xfId="1" applyNumberFormat="1" applyFont="1" applyBorder="1" applyAlignment="1">
      <alignment horizontal="center" vertical="center"/>
    </xf>
    <xf numFmtId="0" fontId="4" fillId="0" borderId="19" xfId="0" applyFont="1" applyBorder="1" applyAlignment="1">
      <alignment vertical="center"/>
    </xf>
    <xf numFmtId="0" fontId="4" fillId="0" borderId="28" xfId="0" applyFont="1" applyBorder="1" applyAlignment="1">
      <alignment vertical="center"/>
    </xf>
    <xf numFmtId="0" fontId="12" fillId="0" borderId="6" xfId="0" applyFont="1" applyBorder="1" applyAlignment="1">
      <alignment vertical="center"/>
    </xf>
    <xf numFmtId="9" fontId="4" fillId="0" borderId="6" xfId="0" applyNumberFormat="1" applyFont="1" applyBorder="1" applyAlignment="1">
      <alignment horizontal="center" vertical="center"/>
    </xf>
    <xf numFmtId="0" fontId="21" fillId="0" borderId="0" xfId="0" applyFont="1" applyAlignment="1">
      <alignment horizontal="center" vertical="center"/>
    </xf>
    <xf numFmtId="0" fontId="13" fillId="0" borderId="0" xfId="0" applyFont="1" applyAlignment="1">
      <alignment vertical="center" wrapText="1"/>
    </xf>
    <xf numFmtId="0" fontId="5" fillId="0" borderId="0" xfId="0" applyFont="1" applyAlignment="1">
      <alignment vertical="center" wrapText="1"/>
    </xf>
    <xf numFmtId="0" fontId="4" fillId="0" borderId="0" xfId="0" applyFont="1" applyAlignment="1">
      <alignment vertical="center" wrapText="1"/>
    </xf>
    <xf numFmtId="165" fontId="11" fillId="6" borderId="8" xfId="1" applyNumberFormat="1" applyFont="1" applyFill="1" applyBorder="1" applyAlignment="1">
      <alignment horizontal="center" vertical="center"/>
    </xf>
    <xf numFmtId="0" fontId="11" fillId="6" borderId="8" xfId="0" applyFont="1" applyFill="1" applyBorder="1" applyAlignment="1">
      <alignment vertical="center" wrapText="1"/>
    </xf>
    <xf numFmtId="0" fontId="22" fillId="0" borderId="22" xfId="0" applyFont="1" applyBorder="1" applyAlignment="1">
      <alignment horizontal="left" vertical="center" wrapText="1"/>
    </xf>
    <xf numFmtId="165" fontId="12" fillId="0" borderId="6" xfId="1" applyNumberFormat="1" applyFont="1" applyBorder="1" applyAlignment="1">
      <alignment horizontal="center" vertical="center"/>
    </xf>
    <xf numFmtId="0" fontId="9" fillId="5" borderId="11" xfId="0" applyFont="1" applyFill="1" applyBorder="1" applyAlignment="1">
      <alignment vertical="center"/>
    </xf>
    <xf numFmtId="0" fontId="10" fillId="5" borderId="8" xfId="0" applyFont="1" applyFill="1" applyBorder="1" applyAlignment="1">
      <alignment vertical="center"/>
    </xf>
    <xf numFmtId="9" fontId="11" fillId="5" borderId="8" xfId="0" applyNumberFormat="1" applyFont="1" applyFill="1" applyBorder="1" applyAlignment="1">
      <alignment horizontal="center" vertical="center"/>
    </xf>
    <xf numFmtId="165" fontId="11" fillId="5" borderId="8" xfId="1" applyNumberFormat="1" applyFont="1" applyFill="1" applyBorder="1" applyAlignment="1">
      <alignment horizontal="center" vertical="center"/>
    </xf>
    <xf numFmtId="0" fontId="11" fillId="5" borderId="26" xfId="0" applyFont="1" applyFill="1" applyBorder="1" applyAlignment="1">
      <alignment vertical="center"/>
    </xf>
    <xf numFmtId="0" fontId="9" fillId="0" borderId="11" xfId="0" applyFont="1" applyBorder="1" applyAlignment="1">
      <alignment vertical="center"/>
    </xf>
    <xf numFmtId="0" fontId="9" fillId="5" borderId="17" xfId="0" applyFont="1" applyFill="1" applyBorder="1" applyAlignment="1">
      <alignment vertical="center"/>
    </xf>
    <xf numFmtId="0" fontId="10" fillId="5" borderId="18" xfId="0" applyFont="1" applyFill="1" applyBorder="1" applyAlignment="1">
      <alignment vertical="center"/>
    </xf>
    <xf numFmtId="9" fontId="11" fillId="5" borderId="18" xfId="0" applyNumberFormat="1" applyFont="1" applyFill="1" applyBorder="1" applyAlignment="1">
      <alignment horizontal="center" vertical="center"/>
    </xf>
    <xf numFmtId="165" fontId="11" fillId="5" borderId="18" xfId="1" applyNumberFormat="1" applyFont="1" applyFill="1" applyBorder="1" applyAlignment="1">
      <alignment horizontal="center" vertical="center"/>
    </xf>
    <xf numFmtId="0" fontId="11" fillId="5" borderId="18" xfId="0" applyFont="1" applyFill="1" applyBorder="1" applyAlignment="1">
      <alignment vertical="center"/>
    </xf>
    <xf numFmtId="0" fontId="11" fillId="5" borderId="27" xfId="0" applyFont="1" applyFill="1" applyBorder="1" applyAlignment="1">
      <alignment vertical="center"/>
    </xf>
    <xf numFmtId="0" fontId="9" fillId="0" borderId="17" xfId="0" applyFont="1" applyBorder="1" applyAlignment="1">
      <alignment vertical="center"/>
    </xf>
    <xf numFmtId="0" fontId="11" fillId="5" borderId="18" xfId="0" applyFont="1" applyFill="1" applyBorder="1" applyAlignment="1">
      <alignment vertical="center" wrapText="1"/>
    </xf>
    <xf numFmtId="165" fontId="11" fillId="6" borderId="18" xfId="1" applyNumberFormat="1" applyFont="1" applyFill="1" applyBorder="1" applyAlignment="1">
      <alignment vertical="center"/>
    </xf>
    <xf numFmtId="0" fontId="11" fillId="6" borderId="18" xfId="0" applyFont="1" applyFill="1" applyBorder="1" applyAlignment="1">
      <alignment wrapText="1"/>
    </xf>
    <xf numFmtId="0" fontId="22" fillId="0" borderId="19" xfId="0" applyFont="1" applyBorder="1" applyAlignment="1">
      <alignment horizontal="left" vertical="center" wrapText="1"/>
    </xf>
    <xf numFmtId="0" fontId="22" fillId="0" borderId="1" xfId="0" applyFont="1" applyBorder="1" applyAlignment="1">
      <alignment horizontal="left" vertical="center" wrapText="1"/>
    </xf>
    <xf numFmtId="0" fontId="9" fillId="0" borderId="32" xfId="0" applyFont="1" applyBorder="1" applyAlignment="1">
      <alignment vertical="center"/>
    </xf>
    <xf numFmtId="0" fontId="11" fillId="6" borderId="18" xfId="0" applyFont="1" applyFill="1" applyBorder="1" applyAlignment="1">
      <alignment vertical="center" wrapText="1"/>
    </xf>
    <xf numFmtId="0" fontId="11" fillId="6" borderId="27" xfId="0" applyFont="1" applyFill="1" applyBorder="1" applyAlignment="1">
      <alignment vertical="center"/>
    </xf>
    <xf numFmtId="0" fontId="9" fillId="6" borderId="11"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8" fillId="6" borderId="0" xfId="0" applyFont="1" applyFill="1" applyAlignment="1">
      <alignment horizontal="center" vertical="center" wrapText="1"/>
    </xf>
    <xf numFmtId="0" fontId="8" fillId="8" borderId="0" xfId="0" applyFont="1" applyFill="1" applyAlignment="1">
      <alignment horizontal="center" vertical="center" wrapText="1"/>
    </xf>
    <xf numFmtId="0" fontId="8" fillId="8" borderId="14" xfId="0" applyFont="1" applyFill="1" applyBorder="1" applyAlignment="1">
      <alignment horizontal="center" vertical="center" wrapText="1"/>
    </xf>
    <xf numFmtId="0" fontId="3" fillId="0" borderId="2" xfId="0" applyFont="1" applyBorder="1"/>
    <xf numFmtId="0" fontId="3" fillId="0" borderId="11" xfId="0" applyFont="1" applyBorder="1" applyAlignment="1">
      <alignment vertical="center"/>
    </xf>
    <xf numFmtId="0" fontId="4" fillId="0" borderId="15" xfId="0" applyFont="1" applyBorder="1" applyAlignment="1">
      <alignment vertical="center"/>
    </xf>
    <xf numFmtId="9" fontId="4" fillId="0" borderId="15" xfId="0" applyNumberFormat="1" applyFont="1" applyBorder="1" applyAlignment="1">
      <alignment horizontal="center" vertical="center"/>
    </xf>
    <xf numFmtId="165" fontId="4" fillId="0" borderId="15" xfId="1" applyNumberFormat="1" applyFont="1" applyBorder="1" applyAlignment="1">
      <alignment horizontal="center" vertical="center"/>
    </xf>
    <xf numFmtId="0" fontId="24" fillId="0" borderId="0" xfId="0" applyFont="1" applyAlignment="1">
      <alignment vertical="center"/>
    </xf>
    <xf numFmtId="0" fontId="9" fillId="3" borderId="33" xfId="0" applyFont="1" applyFill="1" applyBorder="1" applyAlignment="1">
      <alignment vertical="center"/>
    </xf>
    <xf numFmtId="0" fontId="10" fillId="3" borderId="18" xfId="0" applyFont="1" applyFill="1" applyBorder="1" applyAlignment="1">
      <alignment vertical="center"/>
    </xf>
    <xf numFmtId="0" fontId="10" fillId="3" borderId="18" xfId="0" applyFont="1" applyFill="1" applyBorder="1" applyAlignment="1">
      <alignment vertical="center" wrapText="1"/>
    </xf>
    <xf numFmtId="165" fontId="11" fillId="3" borderId="18" xfId="1" applyNumberFormat="1" applyFont="1" applyFill="1" applyBorder="1" applyAlignment="1">
      <alignment horizontal="center" vertical="center"/>
    </xf>
    <xf numFmtId="44" fontId="11" fillId="3" borderId="18" xfId="1" applyFont="1" applyFill="1" applyBorder="1" applyAlignment="1">
      <alignment horizontal="center" vertical="center"/>
    </xf>
    <xf numFmtId="44" fontId="11" fillId="3" borderId="18" xfId="1" applyFont="1" applyFill="1" applyBorder="1" applyAlignment="1">
      <alignment vertical="center"/>
    </xf>
    <xf numFmtId="165" fontId="11" fillId="3" borderId="18" xfId="1" applyNumberFormat="1" applyFont="1" applyFill="1" applyBorder="1" applyAlignment="1">
      <alignment vertical="center"/>
    </xf>
    <xf numFmtId="0" fontId="9" fillId="4" borderId="14" xfId="0" applyFont="1" applyFill="1" applyBorder="1" applyAlignment="1">
      <alignment vertical="center"/>
    </xf>
    <xf numFmtId="0" fontId="10" fillId="4" borderId="16" xfId="0" applyFont="1" applyFill="1" applyBorder="1" applyAlignment="1">
      <alignment vertical="center"/>
    </xf>
    <xf numFmtId="9" fontId="11" fillId="4" borderId="16" xfId="0" applyNumberFormat="1" applyFont="1" applyFill="1" applyBorder="1" applyAlignment="1">
      <alignment horizontal="center" vertical="center"/>
    </xf>
    <xf numFmtId="165" fontId="11" fillId="4" borderId="16" xfId="1" applyNumberFormat="1" applyFont="1" applyFill="1" applyBorder="1" applyAlignment="1">
      <alignment horizontal="center" vertical="center"/>
    </xf>
    <xf numFmtId="0" fontId="11" fillId="4" borderId="25" xfId="0" applyFont="1" applyFill="1" applyBorder="1" applyAlignment="1">
      <alignment vertical="center"/>
    </xf>
    <xf numFmtId="166" fontId="11" fillId="3" borderId="18" xfId="0" applyNumberFormat="1" applyFont="1" applyFill="1" applyBorder="1" applyAlignment="1">
      <alignment horizontal="center" vertical="center"/>
    </xf>
    <xf numFmtId="9" fontId="22" fillId="0" borderId="22" xfId="0" applyNumberFormat="1" applyFont="1" applyBorder="1" applyAlignment="1">
      <alignment horizontal="center" vertical="center"/>
    </xf>
    <xf numFmtId="9" fontId="22" fillId="0" borderId="9" xfId="0" applyNumberFormat="1" applyFont="1" applyBorder="1" applyAlignment="1">
      <alignment horizontal="center" vertical="center"/>
    </xf>
    <xf numFmtId="0" fontId="4" fillId="0" borderId="16" xfId="0" applyFont="1" applyBorder="1" applyAlignment="1">
      <alignment vertical="center" wrapText="1"/>
    </xf>
    <xf numFmtId="9" fontId="19" fillId="0" borderId="34" xfId="0" applyNumberFormat="1" applyFont="1" applyBorder="1" applyAlignment="1">
      <alignment horizontal="center" vertical="center"/>
    </xf>
    <xf numFmtId="165" fontId="19" fillId="0" borderId="34" xfId="1" applyNumberFormat="1" applyFont="1" applyBorder="1" applyAlignment="1">
      <alignment horizontal="center" vertical="center"/>
    </xf>
    <xf numFmtId="9" fontId="12" fillId="0" borderId="2" xfId="0" applyNumberFormat="1" applyFont="1" applyBorder="1" applyAlignment="1">
      <alignment horizontal="center" vertical="center"/>
    </xf>
    <xf numFmtId="165" fontId="12" fillId="0" borderId="2" xfId="1" applyNumberFormat="1" applyFont="1" applyBorder="1" applyAlignment="1">
      <alignment horizontal="center" vertical="center"/>
    </xf>
    <xf numFmtId="0" fontId="23" fillId="0" borderId="0" xfId="0" applyFont="1" applyAlignment="1">
      <alignment vertical="center"/>
    </xf>
    <xf numFmtId="0" fontId="14" fillId="3" borderId="17" xfId="0" applyFont="1" applyFill="1" applyBorder="1" applyAlignment="1">
      <alignment vertical="center"/>
    </xf>
    <xf numFmtId="0" fontId="14" fillId="4" borderId="14" xfId="0" applyFont="1" applyFill="1" applyBorder="1" applyAlignment="1">
      <alignment vertical="center"/>
    </xf>
    <xf numFmtId="0" fontId="14" fillId="5" borderId="17" xfId="0" applyFont="1" applyFill="1" applyBorder="1" applyAlignment="1">
      <alignment vertical="center"/>
    </xf>
    <xf numFmtId="0" fontId="14" fillId="5" borderId="0" xfId="0" applyFont="1" applyFill="1" applyAlignment="1">
      <alignment vertical="center"/>
    </xf>
    <xf numFmtId="0" fontId="14" fillId="5" borderId="11" xfId="0" applyFont="1" applyFill="1" applyBorder="1" applyAlignment="1">
      <alignment vertical="center"/>
    </xf>
    <xf numFmtId="0" fontId="14" fillId="6" borderId="14" xfId="0" applyFont="1" applyFill="1" applyBorder="1" applyAlignment="1">
      <alignment vertical="center"/>
    </xf>
    <xf numFmtId="0" fontId="14" fillId="6" borderId="17" xfId="0" applyFont="1" applyFill="1" applyBorder="1" applyAlignment="1">
      <alignment vertical="center"/>
    </xf>
    <xf numFmtId="0" fontId="3" fillId="0" borderId="0" xfId="0" applyFont="1" applyAlignment="1">
      <alignment horizontal="right" vertical="center"/>
    </xf>
    <xf numFmtId="0" fontId="14" fillId="6" borderId="20" xfId="0" applyFont="1" applyFill="1" applyBorder="1" applyAlignment="1">
      <alignment vertical="center"/>
    </xf>
    <xf numFmtId="0" fontId="22" fillId="0" borderId="34" xfId="0" applyFont="1" applyBorder="1" applyAlignment="1">
      <alignment horizontal="left" vertical="center" wrapText="1"/>
    </xf>
    <xf numFmtId="0" fontId="22" fillId="0" borderId="2" xfId="0" applyFont="1" applyBorder="1" applyAlignment="1">
      <alignment vertical="center"/>
    </xf>
    <xf numFmtId="0" fontId="22" fillId="0" borderId="2" xfId="0" applyFont="1" applyBorder="1" applyAlignment="1">
      <alignment vertical="center" wrapText="1"/>
    </xf>
    <xf numFmtId="0" fontId="22" fillId="0" borderId="1" xfId="0" applyFont="1" applyBorder="1" applyAlignment="1">
      <alignment vertical="center" wrapText="1"/>
    </xf>
    <xf numFmtId="44" fontId="22" fillId="0" borderId="2" xfId="1" applyFont="1" applyBorder="1" applyAlignment="1">
      <alignment horizontal="center" vertical="center"/>
    </xf>
    <xf numFmtId="44" fontId="22" fillId="0" borderId="2" xfId="1" applyFont="1" applyBorder="1" applyAlignment="1">
      <alignment vertical="center"/>
    </xf>
    <xf numFmtId="44" fontId="22" fillId="0" borderId="22" xfId="1" applyFont="1" applyBorder="1" applyAlignment="1">
      <alignment horizontal="center" vertical="center"/>
    </xf>
    <xf numFmtId="44" fontId="22" fillId="0" borderId="22" xfId="1" applyFont="1" applyBorder="1" applyAlignment="1">
      <alignment vertical="center"/>
    </xf>
    <xf numFmtId="44" fontId="22" fillId="0" borderId="9" xfId="1" applyFont="1" applyBorder="1" applyAlignment="1">
      <alignment horizontal="center" vertical="center"/>
    </xf>
    <xf numFmtId="44" fontId="22" fillId="0" borderId="9" xfId="1" applyFont="1" applyBorder="1" applyAlignment="1">
      <alignment vertical="center"/>
    </xf>
    <xf numFmtId="0" fontId="25" fillId="4" borderId="16" xfId="0" applyFont="1" applyFill="1" applyBorder="1" applyAlignment="1">
      <alignment vertical="center"/>
    </xf>
    <xf numFmtId="0" fontId="25" fillId="4" borderId="16" xfId="0" applyFont="1" applyFill="1" applyBorder="1" applyAlignment="1">
      <alignment vertical="center" wrapText="1"/>
    </xf>
    <xf numFmtId="0" fontId="25" fillId="5" borderId="18" xfId="0" applyFont="1" applyFill="1" applyBorder="1" applyAlignment="1">
      <alignment vertical="center"/>
    </xf>
    <xf numFmtId="0" fontId="25" fillId="5" borderId="18" xfId="0" applyFont="1" applyFill="1" applyBorder="1" applyAlignment="1">
      <alignment vertical="center" wrapText="1"/>
    </xf>
    <xf numFmtId="0" fontId="25" fillId="5" borderId="19" xfId="0" applyFont="1" applyFill="1" applyBorder="1" applyAlignment="1">
      <alignment vertical="center"/>
    </xf>
    <xf numFmtId="0" fontId="25" fillId="5" borderId="2" xfId="0" applyFont="1" applyFill="1" applyBorder="1" applyAlignment="1">
      <alignment vertical="center" wrapText="1"/>
    </xf>
    <xf numFmtId="0" fontId="25" fillId="5" borderId="8" xfId="0" applyFont="1" applyFill="1" applyBorder="1" applyAlignment="1">
      <alignment vertical="center"/>
    </xf>
    <xf numFmtId="0" fontId="25" fillId="5" borderId="8" xfId="0" applyFont="1" applyFill="1" applyBorder="1" applyAlignment="1">
      <alignment vertical="center" wrapText="1"/>
    </xf>
    <xf numFmtId="0" fontId="25" fillId="5" borderId="2" xfId="0" applyFont="1" applyFill="1" applyBorder="1" applyAlignment="1">
      <alignment vertical="center"/>
    </xf>
    <xf numFmtId="0" fontId="22" fillId="0" borderId="9" xfId="0" applyFont="1" applyBorder="1" applyAlignment="1">
      <alignment horizontal="left" vertical="center" wrapText="1"/>
    </xf>
    <xf numFmtId="0" fontId="25" fillId="6" borderId="16" xfId="0" applyFont="1" applyFill="1" applyBorder="1" applyAlignment="1">
      <alignment vertical="center"/>
    </xf>
    <xf numFmtId="0" fontId="25" fillId="6" borderId="16" xfId="0" applyFont="1" applyFill="1" applyBorder="1" applyAlignment="1">
      <alignment vertical="center" wrapText="1"/>
    </xf>
    <xf numFmtId="0" fontId="25" fillId="6" borderId="16" xfId="0" applyFont="1" applyFill="1" applyBorder="1" applyAlignment="1">
      <alignment horizontal="left" vertical="center"/>
    </xf>
    <xf numFmtId="0" fontId="25" fillId="6" borderId="16" xfId="0" applyFont="1" applyFill="1" applyBorder="1" applyAlignment="1">
      <alignment horizontal="left" vertical="center" wrapText="1"/>
    </xf>
    <xf numFmtId="0" fontId="22" fillId="0" borderId="2" xfId="0" applyFont="1" applyBorder="1" applyAlignment="1">
      <alignment horizontal="left" vertical="center" wrapText="1"/>
    </xf>
    <xf numFmtId="0" fontId="25" fillId="6" borderId="8" xfId="0" applyFont="1" applyFill="1" applyBorder="1" applyAlignment="1">
      <alignment horizontal="left" vertical="center" wrapText="1"/>
    </xf>
    <xf numFmtId="0" fontId="22" fillId="0" borderId="2" xfId="0" applyFont="1" applyBorder="1" applyAlignment="1">
      <alignment horizontal="left" vertical="center"/>
    </xf>
    <xf numFmtId="0" fontId="25" fillId="6" borderId="18" xfId="0" applyFont="1" applyFill="1" applyBorder="1" applyAlignment="1">
      <alignment horizontal="left" vertical="center"/>
    </xf>
    <xf numFmtId="0" fontId="25" fillId="6" borderId="18" xfId="0" applyFont="1" applyFill="1" applyBorder="1" applyAlignment="1">
      <alignment horizontal="left" vertical="center" wrapText="1"/>
    </xf>
    <xf numFmtId="0" fontId="22" fillId="0" borderId="6" xfId="0" applyFont="1" applyBorder="1" applyAlignment="1">
      <alignment vertical="center" wrapText="1"/>
    </xf>
    <xf numFmtId="0" fontId="9" fillId="3" borderId="13" xfId="0" applyFont="1" applyFill="1" applyBorder="1" applyAlignment="1">
      <alignment vertical="center"/>
    </xf>
    <xf numFmtId="0" fontId="14" fillId="3" borderId="14" xfId="0" applyFont="1" applyFill="1" applyBorder="1" applyAlignment="1">
      <alignment vertical="center"/>
    </xf>
    <xf numFmtId="0" fontId="10" fillId="3" borderId="16" xfId="0" applyFont="1" applyFill="1" applyBorder="1" applyAlignment="1">
      <alignment vertical="center"/>
    </xf>
    <xf numFmtId="0" fontId="25" fillId="3" borderId="16" xfId="0" applyFont="1" applyFill="1" applyBorder="1" applyAlignment="1">
      <alignment vertical="center"/>
    </xf>
    <xf numFmtId="0" fontId="25" fillId="3" borderId="16" xfId="0" applyFont="1" applyFill="1" applyBorder="1" applyAlignment="1">
      <alignment vertical="center" wrapText="1"/>
    </xf>
    <xf numFmtId="9" fontId="11" fillId="3" borderId="16" xfId="0" applyNumberFormat="1" applyFont="1" applyFill="1" applyBorder="1" applyAlignment="1">
      <alignment horizontal="center" vertical="center"/>
    </xf>
    <xf numFmtId="165" fontId="11" fillId="3" borderId="16" xfId="1" applyNumberFormat="1" applyFont="1" applyFill="1" applyBorder="1" applyAlignment="1">
      <alignment horizontal="center" vertical="center"/>
    </xf>
    <xf numFmtId="9" fontId="22" fillId="0" borderId="6" xfId="0" applyNumberFormat="1" applyFont="1" applyBorder="1" applyAlignment="1">
      <alignment horizontal="center" vertical="center"/>
    </xf>
    <xf numFmtId="0" fontId="3" fillId="0" borderId="36" xfId="0" applyFont="1" applyBorder="1" applyAlignment="1">
      <alignment vertical="center"/>
    </xf>
    <xf numFmtId="0" fontId="12" fillId="0" borderId="37" xfId="0" applyFont="1" applyBorder="1" applyAlignment="1">
      <alignment vertical="center"/>
    </xf>
    <xf numFmtId="9" fontId="22" fillId="0" borderId="37" xfId="0" applyNumberFormat="1" applyFont="1" applyBorder="1" applyAlignment="1">
      <alignment horizontal="center" vertical="center"/>
    </xf>
    <xf numFmtId="165" fontId="16" fillId="0" borderId="37" xfId="1" applyNumberFormat="1" applyFont="1" applyBorder="1" applyAlignment="1">
      <alignment horizontal="center" vertical="center"/>
    </xf>
    <xf numFmtId="44" fontId="22" fillId="0" borderId="37" xfId="1" applyFont="1" applyBorder="1" applyAlignment="1">
      <alignment horizontal="center" vertical="center"/>
    </xf>
    <xf numFmtId="44" fontId="22" fillId="0" borderId="37" xfId="1" applyFont="1" applyBorder="1" applyAlignment="1">
      <alignment vertical="center"/>
    </xf>
    <xf numFmtId="0" fontId="4" fillId="0" borderId="37" xfId="0" applyFont="1" applyBorder="1" applyAlignment="1">
      <alignment vertical="center" wrapText="1"/>
    </xf>
    <xf numFmtId="0" fontId="4" fillId="0" borderId="38" xfId="0" applyFont="1" applyBorder="1" applyAlignment="1">
      <alignment vertical="center"/>
    </xf>
    <xf numFmtId="9" fontId="12" fillId="0" borderId="6" xfId="0" applyNumberFormat="1" applyFont="1" applyBorder="1" applyAlignment="1">
      <alignment horizontal="center" vertical="center"/>
    </xf>
    <xf numFmtId="0" fontId="3" fillId="0" borderId="39" xfId="0" applyFont="1" applyBorder="1" applyAlignment="1">
      <alignment vertical="center"/>
    </xf>
    <xf numFmtId="0" fontId="8" fillId="8" borderId="40" xfId="0" applyFont="1" applyFill="1" applyBorder="1" applyAlignment="1">
      <alignment horizontal="center" vertical="center" wrapText="1"/>
    </xf>
    <xf numFmtId="0" fontId="3" fillId="0" borderId="40" xfId="0" applyFont="1" applyBorder="1" applyAlignment="1">
      <alignment vertical="center"/>
    </xf>
    <xf numFmtId="0" fontId="12" fillId="0" borderId="41" xfId="0" applyFont="1" applyBorder="1" applyAlignment="1">
      <alignment vertical="center"/>
    </xf>
    <xf numFmtId="0" fontId="22" fillId="0" borderId="41" xfId="0" applyFont="1" applyBorder="1" applyAlignment="1">
      <alignment vertical="center" wrapText="1"/>
    </xf>
    <xf numFmtId="9" fontId="4" fillId="0" borderId="41" xfId="0" applyNumberFormat="1" applyFont="1" applyBorder="1" applyAlignment="1">
      <alignment horizontal="center" vertical="center"/>
    </xf>
    <xf numFmtId="165" fontId="4" fillId="0" borderId="41" xfId="1" applyNumberFormat="1" applyFont="1" applyBorder="1" applyAlignment="1">
      <alignment horizontal="center" vertical="center"/>
    </xf>
    <xf numFmtId="0" fontId="4" fillId="0" borderId="41" xfId="0" applyFont="1" applyBorder="1" applyAlignment="1">
      <alignment vertical="center" wrapText="1"/>
    </xf>
    <xf numFmtId="0" fontId="4" fillId="0" borderId="41" xfId="0" applyFont="1" applyBorder="1" applyAlignment="1">
      <alignment vertical="center"/>
    </xf>
    <xf numFmtId="0" fontId="22" fillId="0" borderId="19" xfId="0" applyFont="1" applyBorder="1" applyAlignment="1">
      <alignment horizontal="left" vertical="center"/>
    </xf>
    <xf numFmtId="165" fontId="4" fillId="0" borderId="19" xfId="1" applyNumberFormat="1" applyFont="1" applyFill="1" applyBorder="1" applyAlignment="1">
      <alignment horizontal="center" vertical="center"/>
    </xf>
    <xf numFmtId="0" fontId="3" fillId="0" borderId="44" xfId="0" applyFont="1" applyBorder="1" applyAlignment="1">
      <alignment vertical="center"/>
    </xf>
    <xf numFmtId="0" fontId="3" fillId="0" borderId="44" xfId="0" applyFont="1" applyBorder="1" applyAlignment="1">
      <alignment horizontal="right" vertical="center"/>
    </xf>
    <xf numFmtId="0" fontId="4" fillId="0" borderId="45" xfId="0" applyFont="1" applyBorder="1" applyAlignment="1">
      <alignment vertical="center"/>
    </xf>
    <xf numFmtId="9" fontId="4" fillId="0" borderId="45" xfId="0" applyNumberFormat="1" applyFont="1" applyBorder="1" applyAlignment="1">
      <alignment horizontal="center" vertical="center"/>
    </xf>
    <xf numFmtId="165" fontId="4" fillId="0" borderId="6" xfId="1" applyNumberFormat="1" applyFont="1" applyFill="1" applyBorder="1" applyAlignment="1">
      <alignment horizontal="center" vertical="center"/>
    </xf>
    <xf numFmtId="0" fontId="9" fillId="5" borderId="33" xfId="0" applyFont="1" applyFill="1" applyBorder="1" applyAlignment="1">
      <alignment vertical="center"/>
    </xf>
    <xf numFmtId="165" fontId="4" fillId="0" borderId="2" xfId="1" applyNumberFormat="1" applyFont="1" applyBorder="1" applyAlignment="1">
      <alignment horizontal="center" vertical="center"/>
    </xf>
    <xf numFmtId="0" fontId="4" fillId="0" borderId="47" xfId="0" applyFont="1" applyBorder="1" applyAlignment="1">
      <alignment vertical="center"/>
    </xf>
    <xf numFmtId="0" fontId="8" fillId="8" borderId="44" xfId="0" applyFont="1" applyFill="1" applyBorder="1" applyAlignment="1">
      <alignment horizontal="center" vertical="center" wrapText="1"/>
    </xf>
    <xf numFmtId="0" fontId="4" fillId="0" borderId="28" xfId="0" applyFont="1" applyBorder="1" applyAlignment="1">
      <alignment vertical="center" wrapText="1"/>
    </xf>
    <xf numFmtId="0" fontId="12" fillId="0" borderId="46" xfId="0" applyFont="1" applyBorder="1" applyAlignment="1">
      <alignment vertical="center"/>
    </xf>
    <xf numFmtId="9" fontId="4" fillId="0" borderId="46" xfId="0" applyNumberFormat="1" applyFont="1" applyBorder="1" applyAlignment="1">
      <alignment horizontal="center" vertical="center"/>
    </xf>
    <xf numFmtId="165" fontId="4" fillId="0" borderId="46" xfId="1" applyNumberFormat="1" applyFont="1" applyFill="1" applyBorder="1" applyAlignment="1">
      <alignment horizontal="center" vertical="center"/>
    </xf>
    <xf numFmtId="0" fontId="4" fillId="0" borderId="46" xfId="0" applyFont="1" applyBorder="1" applyAlignment="1">
      <alignment vertical="center"/>
    </xf>
    <xf numFmtId="0" fontId="4" fillId="0" borderId="48" xfId="0" applyFont="1" applyBorder="1" applyAlignment="1">
      <alignment vertical="center"/>
    </xf>
    <xf numFmtId="0" fontId="4" fillId="0" borderId="19" xfId="0" applyFont="1" applyBorder="1" applyAlignment="1">
      <alignment vertical="center" wrapText="1"/>
    </xf>
    <xf numFmtId="9" fontId="12" fillId="0" borderId="19" xfId="0" applyNumberFormat="1" applyFont="1" applyBorder="1" applyAlignment="1">
      <alignment horizontal="center" vertical="center"/>
    </xf>
    <xf numFmtId="165" fontId="12" fillId="0" borderId="19" xfId="1" applyNumberFormat="1" applyFont="1" applyBorder="1" applyAlignment="1">
      <alignment horizontal="center" vertical="center"/>
    </xf>
    <xf numFmtId="0" fontId="3" fillId="0" borderId="49" xfId="0" applyFont="1" applyBorder="1" applyAlignment="1">
      <alignment vertical="center"/>
    </xf>
    <xf numFmtId="0" fontId="8" fillId="8" borderId="49" xfId="0" applyFont="1" applyFill="1" applyBorder="1" applyAlignment="1">
      <alignment horizontal="center" vertical="center" wrapText="1"/>
    </xf>
    <xf numFmtId="0" fontId="3" fillId="0" borderId="49" xfId="0" applyFont="1" applyBorder="1" applyAlignment="1">
      <alignment horizontal="right" vertical="center"/>
    </xf>
    <xf numFmtId="0" fontId="4" fillId="0" borderId="50" xfId="0" applyFont="1" applyBorder="1" applyAlignment="1">
      <alignment vertical="center" wrapText="1"/>
    </xf>
    <xf numFmtId="9" fontId="4" fillId="0" borderId="50" xfId="0" applyNumberFormat="1" applyFont="1" applyBorder="1" applyAlignment="1">
      <alignment horizontal="center" vertical="center"/>
    </xf>
    <xf numFmtId="165" fontId="4" fillId="0" borderId="50" xfId="1" applyNumberFormat="1" applyFont="1" applyBorder="1" applyAlignment="1">
      <alignment horizontal="center" vertical="center"/>
    </xf>
    <xf numFmtId="0" fontId="4" fillId="0" borderId="52" xfId="0" applyFont="1" applyBorder="1" applyAlignment="1">
      <alignment vertical="center"/>
    </xf>
    <xf numFmtId="0" fontId="18" fillId="0" borderId="40" xfId="0" applyFont="1" applyBorder="1" applyAlignment="1">
      <alignment horizontal="right" vertical="center"/>
    </xf>
    <xf numFmtId="165" fontId="4" fillId="0" borderId="45" xfId="1" applyNumberFormat="1" applyFont="1" applyBorder="1" applyAlignment="1">
      <alignment horizontal="center" vertical="center"/>
    </xf>
    <xf numFmtId="0" fontId="4" fillId="0" borderId="45" xfId="0" applyFont="1" applyBorder="1" applyAlignment="1">
      <alignment vertical="center" wrapText="1"/>
    </xf>
    <xf numFmtId="44" fontId="22" fillId="0" borderId="43" xfId="1" applyFont="1" applyBorder="1" applyAlignment="1">
      <alignment vertical="center"/>
    </xf>
    <xf numFmtId="44" fontId="22" fillId="0" borderId="19" xfId="1" applyFont="1" applyBorder="1" applyAlignment="1">
      <alignment vertical="center"/>
    </xf>
    <xf numFmtId="44" fontId="22" fillId="0" borderId="1" xfId="1" applyFont="1" applyBorder="1" applyAlignment="1">
      <alignment vertical="center"/>
    </xf>
    <xf numFmtId="44" fontId="22" fillId="0" borderId="42" xfId="1" applyFont="1" applyBorder="1" applyAlignment="1">
      <alignment vertical="center"/>
    </xf>
    <xf numFmtId="9" fontId="22" fillId="0" borderId="2" xfId="0" applyNumberFormat="1" applyFont="1" applyBorder="1" applyAlignment="1">
      <alignment horizontal="center" vertical="center"/>
    </xf>
    <xf numFmtId="0" fontId="12" fillId="0" borderId="3" xfId="0" applyFont="1" applyBorder="1" applyAlignment="1">
      <alignment vertical="center" wrapText="1"/>
    </xf>
    <xf numFmtId="0" fontId="12" fillId="0" borderId="4" xfId="0" applyFont="1" applyBorder="1" applyAlignment="1">
      <alignment vertical="center" wrapText="1"/>
    </xf>
    <xf numFmtId="0" fontId="4" fillId="0" borderId="6" xfId="0" applyFont="1" applyBorder="1" applyAlignment="1">
      <alignment vertical="center" wrapText="1"/>
    </xf>
    <xf numFmtId="0" fontId="11" fillId="4" borderId="16" xfId="0" applyFont="1" applyFill="1" applyBorder="1" applyAlignment="1">
      <alignment vertical="center" wrapText="1"/>
    </xf>
    <xf numFmtId="9" fontId="11" fillId="7" borderId="18" xfId="0" applyNumberFormat="1" applyFont="1" applyFill="1" applyBorder="1" applyAlignment="1">
      <alignment horizontal="center" vertical="center"/>
    </xf>
    <xf numFmtId="9" fontId="22" fillId="0" borderId="1" xfId="0" applyNumberFormat="1" applyFont="1" applyBorder="1" applyAlignment="1">
      <alignment horizontal="center" vertical="center"/>
    </xf>
    <xf numFmtId="0" fontId="4" fillId="0" borderId="6" xfId="0" applyFont="1" applyBorder="1" applyAlignment="1">
      <alignment wrapText="1"/>
    </xf>
    <xf numFmtId="0" fontId="14" fillId="0" borderId="0" xfId="0" applyFont="1" applyAlignment="1">
      <alignment wrapText="1"/>
    </xf>
    <xf numFmtId="0" fontId="3" fillId="0" borderId="0" xfId="0" applyFont="1" applyAlignment="1">
      <alignment wrapText="1"/>
    </xf>
    <xf numFmtId="0" fontId="11" fillId="3" borderId="18" xfId="0" applyFont="1" applyFill="1" applyBorder="1" applyAlignment="1">
      <alignment vertical="center" wrapText="1"/>
    </xf>
    <xf numFmtId="0" fontId="4" fillId="0" borderId="54" xfId="0" applyFont="1" applyBorder="1" applyAlignment="1">
      <alignment vertical="center" wrapText="1"/>
    </xf>
    <xf numFmtId="0" fontId="4" fillId="0" borderId="46" xfId="0" applyFont="1" applyBorder="1" applyAlignment="1">
      <alignment vertical="center" wrapText="1"/>
    </xf>
    <xf numFmtId="0" fontId="4" fillId="0" borderId="15" xfId="0" applyFont="1" applyBorder="1" applyAlignment="1">
      <alignment vertical="center" wrapText="1"/>
    </xf>
    <xf numFmtId="0" fontId="11" fillId="5" borderId="8" xfId="0" applyFont="1" applyFill="1" applyBorder="1" applyAlignment="1">
      <alignment vertical="center" wrapText="1"/>
    </xf>
    <xf numFmtId="0" fontId="3" fillId="0" borderId="2" xfId="0" applyFont="1" applyBorder="1" applyAlignment="1">
      <alignment wrapText="1"/>
    </xf>
    <xf numFmtId="0" fontId="3" fillId="0" borderId="1" xfId="0" applyFont="1" applyBorder="1" applyAlignment="1">
      <alignment wrapText="1"/>
    </xf>
    <xf numFmtId="9" fontId="27" fillId="0" borderId="19" xfId="0" applyNumberFormat="1" applyFont="1" applyBorder="1" applyAlignment="1">
      <alignment horizontal="center" vertical="center"/>
    </xf>
    <xf numFmtId="44" fontId="22" fillId="0" borderId="1" xfId="1" applyFont="1" applyBorder="1" applyAlignment="1">
      <alignment horizontal="center" vertical="center"/>
    </xf>
    <xf numFmtId="165" fontId="22" fillId="0" borderId="1" xfId="1" applyNumberFormat="1" applyFont="1" applyBorder="1" applyAlignment="1">
      <alignment vertical="center"/>
    </xf>
    <xf numFmtId="44" fontId="22" fillId="0" borderId="16" xfId="1" applyFont="1" applyBorder="1" applyAlignment="1">
      <alignment horizontal="center" vertical="center"/>
    </xf>
    <xf numFmtId="44" fontId="22" fillId="0" borderId="16" xfId="1" applyFont="1" applyBorder="1" applyAlignment="1">
      <alignment vertical="center"/>
    </xf>
    <xf numFmtId="44" fontId="25" fillId="5" borderId="2" xfId="1" applyFont="1" applyFill="1" applyBorder="1" applyAlignment="1">
      <alignment horizontal="center" vertical="center"/>
    </xf>
    <xf numFmtId="44" fontId="25" fillId="5" borderId="2" xfId="1" applyFont="1" applyFill="1" applyBorder="1" applyAlignment="1">
      <alignment vertical="center"/>
    </xf>
    <xf numFmtId="9" fontId="22" fillId="0" borderId="19" xfId="0" applyNumberFormat="1" applyFont="1" applyBorder="1" applyAlignment="1">
      <alignment horizontal="center" vertical="center"/>
    </xf>
    <xf numFmtId="44" fontId="22" fillId="0" borderId="19" xfId="1" applyFont="1" applyBorder="1" applyAlignment="1">
      <alignment horizontal="center" vertical="center"/>
    </xf>
    <xf numFmtId="44" fontId="22" fillId="0" borderId="6" xfId="1" applyFont="1" applyBorder="1" applyAlignment="1">
      <alignment horizontal="center" vertical="center"/>
    </xf>
    <xf numFmtId="44" fontId="22" fillId="0" borderId="6" xfId="1" applyFont="1" applyBorder="1" applyAlignment="1">
      <alignment vertical="center"/>
    </xf>
    <xf numFmtId="0" fontId="3" fillId="0" borderId="14" xfId="0" applyFont="1" applyBorder="1" applyAlignment="1">
      <alignment horizontal="right" vertical="center"/>
    </xf>
    <xf numFmtId="9" fontId="26" fillId="5" borderId="2" xfId="0" applyNumberFormat="1" applyFont="1" applyFill="1" applyBorder="1" applyAlignment="1">
      <alignment horizontal="center" vertical="center"/>
    </xf>
    <xf numFmtId="44" fontId="22" fillId="0" borderId="1" xfId="1" applyFont="1" applyBorder="1" applyAlignment="1">
      <alignment horizontal="center" vertical="center" wrapText="1"/>
    </xf>
    <xf numFmtId="44" fontId="22" fillId="0" borderId="1" xfId="1" applyFont="1" applyBorder="1" applyAlignment="1">
      <alignment vertical="center" wrapText="1"/>
    </xf>
    <xf numFmtId="44" fontId="22" fillId="0" borderId="41" xfId="1" applyFont="1" applyFill="1" applyBorder="1" applyAlignment="1">
      <alignment horizontal="center" vertical="center"/>
    </xf>
    <xf numFmtId="44" fontId="22" fillId="0" borderId="41" xfId="1" applyFont="1" applyFill="1" applyBorder="1" applyAlignment="1">
      <alignment vertical="center"/>
    </xf>
    <xf numFmtId="44" fontId="22" fillId="0" borderId="41" xfId="1" applyFont="1" applyBorder="1" applyAlignment="1">
      <alignment vertical="center"/>
    </xf>
    <xf numFmtId="44" fontId="25" fillId="3" borderId="16" xfId="1" applyFont="1" applyFill="1" applyBorder="1" applyAlignment="1">
      <alignment horizontal="center" vertical="center"/>
    </xf>
    <xf numFmtId="44" fontId="25" fillId="3" borderId="16" xfId="1" applyFont="1" applyFill="1" applyBorder="1" applyAlignment="1">
      <alignment vertical="center"/>
    </xf>
    <xf numFmtId="44" fontId="25" fillId="4" borderId="16" xfId="1" applyFont="1" applyFill="1" applyBorder="1" applyAlignment="1">
      <alignment horizontal="center" vertical="center"/>
    </xf>
    <xf numFmtId="44" fontId="25" fillId="4" borderId="16" xfId="1" applyFont="1" applyFill="1" applyBorder="1" applyAlignment="1">
      <alignment vertical="center"/>
    </xf>
    <xf numFmtId="44" fontId="22" fillId="0" borderId="19" xfId="1" applyFont="1" applyFill="1" applyBorder="1" applyAlignment="1">
      <alignment horizontal="center" vertical="center"/>
    </xf>
    <xf numFmtId="44" fontId="22" fillId="0" borderId="19" xfId="1" applyFont="1" applyFill="1" applyBorder="1" applyAlignment="1">
      <alignment vertical="center"/>
    </xf>
    <xf numFmtId="44" fontId="22" fillId="0" borderId="46" xfId="1" applyFont="1" applyFill="1" applyBorder="1" applyAlignment="1">
      <alignment horizontal="center" vertical="center"/>
    </xf>
    <xf numFmtId="44" fontId="22" fillId="0" borderId="46" xfId="1" applyFont="1" applyFill="1" applyBorder="1" applyAlignment="1">
      <alignment vertical="center"/>
    </xf>
    <xf numFmtId="44" fontId="22" fillId="0" borderId="2" xfId="1" applyFont="1" applyFill="1" applyBorder="1" applyAlignment="1">
      <alignment horizontal="center" vertical="center"/>
    </xf>
    <xf numFmtId="44" fontId="22" fillId="0" borderId="2" xfId="1" applyFont="1" applyFill="1" applyBorder="1" applyAlignment="1">
      <alignment vertical="center"/>
    </xf>
    <xf numFmtId="44" fontId="22" fillId="0" borderId="6" xfId="1" applyFont="1" applyFill="1" applyBorder="1" applyAlignment="1">
      <alignment horizontal="center" vertical="center"/>
    </xf>
    <xf numFmtId="44" fontId="22" fillId="0" borderId="6" xfId="1" applyFont="1" applyFill="1" applyBorder="1" applyAlignment="1">
      <alignment vertical="center"/>
    </xf>
    <xf numFmtId="44" fontId="25" fillId="5" borderId="18" xfId="1" applyFont="1" applyFill="1" applyBorder="1" applyAlignment="1">
      <alignment horizontal="center" vertical="center"/>
    </xf>
    <xf numFmtId="44" fontId="25" fillId="5" borderId="18" xfId="1" applyFont="1" applyFill="1" applyBorder="1" applyAlignment="1">
      <alignment vertical="center"/>
    </xf>
    <xf numFmtId="44" fontId="22" fillId="0" borderId="15" xfId="1" applyFont="1" applyBorder="1" applyAlignment="1">
      <alignment horizontal="center" vertical="center"/>
    </xf>
    <xf numFmtId="44" fontId="22" fillId="0" borderId="15" xfId="1" applyFont="1" applyBorder="1" applyAlignment="1">
      <alignment vertical="center"/>
    </xf>
    <xf numFmtId="44" fontId="22" fillId="0" borderId="50" xfId="1" applyFont="1" applyBorder="1" applyAlignment="1">
      <alignment horizontal="center" vertical="center"/>
    </xf>
    <xf numFmtId="44" fontId="22" fillId="0" borderId="50" xfId="1" applyFont="1" applyBorder="1" applyAlignment="1">
      <alignment vertical="center"/>
    </xf>
    <xf numFmtId="44" fontId="22" fillId="0" borderId="45" xfId="1" applyFont="1" applyBorder="1" applyAlignment="1">
      <alignment horizontal="center" vertical="center"/>
    </xf>
    <xf numFmtId="44" fontId="22" fillId="0" borderId="45" xfId="1" applyFont="1" applyBorder="1" applyAlignment="1">
      <alignment vertical="center"/>
    </xf>
    <xf numFmtId="44" fontId="22" fillId="0" borderId="34" xfId="1" applyFont="1" applyBorder="1" applyAlignment="1">
      <alignment horizontal="center" vertical="center"/>
    </xf>
    <xf numFmtId="44" fontId="22" fillId="0" borderId="34" xfId="1" applyFont="1" applyBorder="1" applyAlignment="1">
      <alignment vertical="center"/>
    </xf>
    <xf numFmtId="44" fontId="25" fillId="5" borderId="8" xfId="1" applyFont="1" applyFill="1" applyBorder="1" applyAlignment="1">
      <alignment horizontal="center" vertical="center"/>
    </xf>
    <xf numFmtId="44" fontId="25" fillId="5" borderId="8" xfId="1" applyFont="1" applyFill="1" applyBorder="1" applyAlignment="1">
      <alignment vertical="center"/>
    </xf>
    <xf numFmtId="44" fontId="25" fillId="6" borderId="16" xfId="1" applyFont="1" applyFill="1" applyBorder="1" applyAlignment="1">
      <alignment horizontal="center" vertical="center"/>
    </xf>
    <xf numFmtId="44" fontId="25" fillId="6" borderId="16" xfId="1" applyFont="1" applyFill="1" applyBorder="1" applyAlignment="1">
      <alignment vertical="center"/>
    </xf>
    <xf numFmtId="44" fontId="25" fillId="6" borderId="16" xfId="1" applyFont="1" applyFill="1" applyBorder="1" applyAlignment="1">
      <alignment horizontal="center"/>
    </xf>
    <xf numFmtId="44" fontId="25" fillId="6" borderId="16" xfId="1" applyFont="1" applyFill="1" applyBorder="1"/>
    <xf numFmtId="44" fontId="22" fillId="0" borderId="2" xfId="1" applyFont="1" applyBorder="1" applyAlignment="1">
      <alignment vertical="center" wrapText="1"/>
    </xf>
    <xf numFmtId="44" fontId="25" fillId="6" borderId="8" xfId="1" applyFont="1" applyFill="1" applyBorder="1" applyAlignment="1">
      <alignment vertical="center"/>
    </xf>
    <xf numFmtId="44" fontId="22" fillId="0" borderId="1" xfId="1" applyFont="1" applyBorder="1"/>
    <xf numFmtId="44" fontId="25" fillId="6" borderId="18" xfId="1" applyFont="1" applyFill="1" applyBorder="1" applyAlignment="1">
      <alignment horizontal="center" vertical="center"/>
    </xf>
    <xf numFmtId="44" fontId="25" fillId="6" borderId="18" xfId="1" applyFont="1" applyFill="1" applyBorder="1" applyAlignment="1">
      <alignment vertical="center"/>
    </xf>
    <xf numFmtId="44" fontId="25" fillId="6" borderId="18" xfId="1" applyFont="1" applyFill="1" applyBorder="1"/>
    <xf numFmtId="44" fontId="25" fillId="6" borderId="8" xfId="1" applyFont="1" applyFill="1" applyBorder="1" applyAlignment="1">
      <alignment horizontal="center" vertical="center"/>
    </xf>
    <xf numFmtId="0" fontId="8" fillId="6" borderId="11" xfId="0" applyFont="1" applyFill="1" applyBorder="1" applyAlignment="1">
      <alignment horizontal="center" vertical="center" wrapText="1"/>
    </xf>
    <xf numFmtId="0" fontId="3" fillId="0" borderId="56" xfId="0" applyFont="1" applyBorder="1" applyAlignment="1">
      <alignment vertical="center"/>
    </xf>
    <xf numFmtId="0" fontId="12" fillId="0" borderId="57" xfId="0" applyFont="1" applyBorder="1" applyAlignment="1">
      <alignment vertical="center"/>
    </xf>
    <xf numFmtId="9" fontId="26" fillId="5" borderId="58" xfId="0" applyNumberFormat="1" applyFont="1" applyFill="1" applyBorder="1" applyAlignment="1">
      <alignment horizontal="center" vertical="center"/>
    </xf>
    <xf numFmtId="165" fontId="16" fillId="0" borderId="57" xfId="1" applyNumberFormat="1" applyFont="1" applyBorder="1" applyAlignment="1">
      <alignment horizontal="center" vertical="center"/>
    </xf>
    <xf numFmtId="44" fontId="22" fillId="0" borderId="58" xfId="1" applyFont="1" applyBorder="1" applyAlignment="1">
      <alignment horizontal="center" vertical="center"/>
    </xf>
    <xf numFmtId="44" fontId="22" fillId="0" borderId="58" xfId="1" applyFont="1" applyBorder="1" applyAlignment="1">
      <alignment vertical="center"/>
    </xf>
    <xf numFmtId="0" fontId="4" fillId="0" borderId="58" xfId="0" applyFont="1" applyBorder="1" applyAlignment="1">
      <alignment vertical="center" wrapText="1"/>
    </xf>
    <xf numFmtId="0" fontId="4" fillId="0" borderId="59" xfId="0" applyFont="1" applyBorder="1" applyAlignment="1">
      <alignment vertical="center" wrapText="1"/>
    </xf>
    <xf numFmtId="0" fontId="4" fillId="0" borderId="57" xfId="0" applyFont="1" applyBorder="1" applyAlignment="1">
      <alignment vertical="center"/>
    </xf>
    <xf numFmtId="0" fontId="14" fillId="0" borderId="0" xfId="0" applyFont="1" applyAlignment="1">
      <alignment horizontal="center" vertical="center" wrapText="1"/>
    </xf>
    <xf numFmtId="0" fontId="3" fillId="0" borderId="0" xfId="0" applyFont="1" applyAlignment="1">
      <alignment horizontal="center" vertical="center" wrapText="1"/>
    </xf>
    <xf numFmtId="0" fontId="9" fillId="3" borderId="17"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11"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20" xfId="0" applyFont="1" applyFill="1" applyBorder="1" applyAlignment="1">
      <alignment horizontal="center" vertical="center" wrapText="1"/>
    </xf>
    <xf numFmtId="9" fontId="12" fillId="0" borderId="31" xfId="0" applyNumberFormat="1" applyFont="1" applyBorder="1" applyAlignment="1">
      <alignment horizontal="center" vertical="center"/>
    </xf>
    <xf numFmtId="165" fontId="12" fillId="0" borderId="31" xfId="1" applyNumberFormat="1" applyFont="1" applyBorder="1" applyAlignment="1">
      <alignment horizontal="center" vertical="center"/>
    </xf>
    <xf numFmtId="44" fontId="22" fillId="0" borderId="5" xfId="1" applyFont="1" applyBorder="1" applyAlignment="1">
      <alignment horizontal="center" vertical="center"/>
    </xf>
    <xf numFmtId="0" fontId="22" fillId="0" borderId="41" xfId="0" applyFont="1" applyBorder="1" applyAlignment="1">
      <alignment vertical="center"/>
    </xf>
    <xf numFmtId="9" fontId="22" fillId="0" borderId="41" xfId="0" applyNumberFormat="1" applyFont="1" applyBorder="1" applyAlignment="1">
      <alignment horizontal="center" vertical="center"/>
    </xf>
    <xf numFmtId="165" fontId="16" fillId="0" borderId="41" xfId="1" applyNumberFormat="1" applyFont="1" applyBorder="1" applyAlignment="1">
      <alignment horizontal="center" vertical="center"/>
    </xf>
    <xf numFmtId="44" fontId="22" fillId="0" borderId="41" xfId="1" applyFont="1" applyBorder="1" applyAlignment="1">
      <alignment horizontal="center" vertical="center"/>
    </xf>
    <xf numFmtId="0" fontId="4" fillId="0" borderId="60" xfId="0" applyFont="1" applyBorder="1" applyAlignment="1">
      <alignment vertical="center"/>
    </xf>
    <xf numFmtId="9" fontId="22" fillId="0" borderId="1" xfId="0" applyNumberFormat="1" applyFont="1" applyBorder="1" applyAlignment="1">
      <alignment horizontal="center" vertical="center" wrapText="1"/>
    </xf>
    <xf numFmtId="9" fontId="11" fillId="7" borderId="2" xfId="0" applyNumberFormat="1" applyFont="1" applyFill="1" applyBorder="1" applyAlignment="1">
      <alignment horizontal="center" vertical="center"/>
    </xf>
    <xf numFmtId="0" fontId="4" fillId="0" borderId="1" xfId="0" applyFont="1" applyBorder="1" applyAlignment="1">
      <alignment horizontal="left" vertical="center" wrapText="1"/>
    </xf>
    <xf numFmtId="165" fontId="17" fillId="0" borderId="6" xfId="1" applyNumberFormat="1" applyFont="1" applyBorder="1" applyAlignment="1">
      <alignment horizontal="center" vertical="center"/>
    </xf>
    <xf numFmtId="44" fontId="22" fillId="0" borderId="19" xfId="1" applyFont="1" applyBorder="1" applyAlignment="1">
      <alignment vertical="center" wrapText="1"/>
    </xf>
    <xf numFmtId="0" fontId="3" fillId="0" borderId="44" xfId="0" applyFont="1" applyBorder="1"/>
    <xf numFmtId="0" fontId="9" fillId="6" borderId="33" xfId="0" applyFont="1" applyFill="1" applyBorder="1" applyAlignment="1">
      <alignment vertical="center"/>
    </xf>
    <xf numFmtId="0" fontId="14" fillId="6" borderId="53" xfId="0" applyFont="1" applyFill="1" applyBorder="1" applyAlignment="1">
      <alignment vertical="center"/>
    </xf>
    <xf numFmtId="0" fontId="11" fillId="6" borderId="18" xfId="0" applyFont="1" applyFill="1" applyBorder="1" applyAlignment="1">
      <alignment horizontal="left" vertical="center"/>
    </xf>
    <xf numFmtId="0" fontId="18" fillId="0" borderId="56" xfId="0" applyFont="1" applyBorder="1" applyAlignment="1">
      <alignment vertical="center"/>
    </xf>
    <xf numFmtId="0" fontId="4" fillId="0" borderId="58" xfId="0" applyFont="1" applyBorder="1" applyAlignment="1">
      <alignment horizontal="left" vertical="center"/>
    </xf>
    <xf numFmtId="44" fontId="22" fillId="0" borderId="57" xfId="1" applyFont="1" applyBorder="1" applyAlignment="1">
      <alignment horizontal="center" vertical="center"/>
    </xf>
    <xf numFmtId="44" fontId="22" fillId="0" borderId="57" xfId="1" applyFont="1" applyBorder="1" applyAlignment="1">
      <alignment vertical="center"/>
    </xf>
    <xf numFmtId="0" fontId="4" fillId="0" borderId="59" xfId="0" applyFont="1" applyBorder="1" applyAlignment="1">
      <alignment vertical="center"/>
    </xf>
    <xf numFmtId="9" fontId="25" fillId="6" borderId="18" xfId="0" applyNumberFormat="1" applyFont="1" applyFill="1" applyBorder="1" applyAlignment="1">
      <alignment horizontal="center" vertical="center"/>
    </xf>
    <xf numFmtId="0" fontId="11" fillId="3" borderId="16" xfId="0" applyFont="1" applyFill="1" applyBorder="1" applyAlignment="1">
      <alignment vertical="center" wrapText="1"/>
    </xf>
    <xf numFmtId="0" fontId="4" fillId="0" borderId="19" xfId="0" applyFont="1" applyBorder="1" applyAlignment="1">
      <alignment horizontal="left" vertical="center"/>
    </xf>
    <xf numFmtId="9" fontId="13" fillId="6" borderId="16" xfId="0" applyNumberFormat="1" applyFont="1" applyFill="1" applyBorder="1" applyAlignment="1">
      <alignment horizontal="center" vertical="center"/>
    </xf>
    <xf numFmtId="9" fontId="26" fillId="6" borderId="6" xfId="0" applyNumberFormat="1" applyFont="1" applyFill="1" applyBorder="1" applyAlignment="1">
      <alignment horizontal="center" vertical="center"/>
    </xf>
    <xf numFmtId="0" fontId="11" fillId="6" borderId="18" xfId="0" applyFont="1" applyFill="1" applyBorder="1" applyAlignment="1">
      <alignment horizontal="left" vertical="center" wrapText="1"/>
    </xf>
    <xf numFmtId="9" fontId="22" fillId="0" borderId="19" xfId="0" applyNumberFormat="1" applyFont="1" applyBorder="1" applyAlignment="1">
      <alignment horizontal="center" vertical="center" wrapText="1"/>
    </xf>
    <xf numFmtId="165" fontId="15" fillId="0" borderId="19" xfId="1" applyNumberFormat="1" applyFont="1" applyBorder="1" applyAlignment="1">
      <alignment vertical="center" wrapText="1"/>
    </xf>
    <xf numFmtId="0" fontId="4" fillId="0" borderId="19" xfId="0" applyFont="1" applyBorder="1" applyAlignment="1">
      <alignment wrapText="1"/>
    </xf>
    <xf numFmtId="0" fontId="4" fillId="0" borderId="28" xfId="0" applyFont="1" applyBorder="1"/>
    <xf numFmtId="0" fontId="25" fillId="6" borderId="18" xfId="0" applyFont="1" applyFill="1" applyBorder="1" applyAlignment="1">
      <alignment vertical="center"/>
    </xf>
    <xf numFmtId="0" fontId="25" fillId="6" borderId="18" xfId="0" applyFont="1" applyFill="1" applyBorder="1" applyAlignment="1">
      <alignment vertical="center" wrapText="1"/>
    </xf>
    <xf numFmtId="44" fontId="25" fillId="6" borderId="18" xfId="1" applyFont="1" applyFill="1" applyBorder="1" applyAlignment="1">
      <alignment horizontal="center"/>
    </xf>
    <xf numFmtId="0" fontId="3" fillId="0" borderId="61" xfId="0" applyFont="1" applyBorder="1" applyAlignment="1">
      <alignment vertical="center"/>
    </xf>
    <xf numFmtId="0" fontId="8" fillId="6" borderId="61" xfId="0" applyFont="1" applyFill="1" applyBorder="1" applyAlignment="1">
      <alignment horizontal="center" vertical="center" wrapText="1"/>
    </xf>
    <xf numFmtId="0" fontId="4" fillId="0" borderId="62" xfId="0" applyFont="1" applyBorder="1" applyAlignment="1">
      <alignment horizontal="left" vertical="center"/>
    </xf>
    <xf numFmtId="0" fontId="22" fillId="0" borderId="62" xfId="0" applyFont="1" applyBorder="1" applyAlignment="1">
      <alignment horizontal="left" vertical="center" wrapText="1"/>
    </xf>
    <xf numFmtId="9" fontId="22" fillId="0" borderId="62" xfId="0" applyNumberFormat="1" applyFont="1" applyBorder="1" applyAlignment="1">
      <alignment horizontal="center" vertical="center"/>
    </xf>
    <xf numFmtId="165" fontId="4" fillId="0" borderId="62" xfId="1" applyNumberFormat="1" applyFont="1" applyBorder="1" applyAlignment="1">
      <alignment vertical="center"/>
    </xf>
    <xf numFmtId="44" fontId="22" fillId="0" borderId="62" xfId="1" applyFont="1" applyBorder="1" applyAlignment="1">
      <alignment vertical="center"/>
    </xf>
    <xf numFmtId="0" fontId="4" fillId="0" borderId="62" xfId="0" applyFont="1" applyBorder="1" applyAlignment="1">
      <alignment vertical="center" wrapText="1"/>
    </xf>
    <xf numFmtId="0" fontId="4" fillId="0" borderId="63" xfId="0" applyFont="1" applyBorder="1" applyAlignment="1">
      <alignment vertical="center" wrapText="1"/>
    </xf>
    <xf numFmtId="0" fontId="3" fillId="0" borderId="20" xfId="0" applyFont="1" applyBorder="1" applyAlignment="1">
      <alignment vertical="center"/>
    </xf>
    <xf numFmtId="0" fontId="4" fillId="0" borderId="8" xfId="0" applyFont="1" applyBorder="1" applyAlignment="1">
      <alignment horizontal="left" vertical="center"/>
    </xf>
    <xf numFmtId="9" fontId="22" fillId="0" borderId="8" xfId="0" applyNumberFormat="1" applyFont="1" applyBorder="1" applyAlignment="1">
      <alignment horizontal="center" vertical="center"/>
    </xf>
    <xf numFmtId="165" fontId="4" fillId="0" borderId="8" xfId="1" applyNumberFormat="1" applyFont="1" applyBorder="1" applyAlignment="1">
      <alignment vertical="center"/>
    </xf>
    <xf numFmtId="44" fontId="22" fillId="0" borderId="8" xfId="1" applyFont="1" applyBorder="1" applyAlignment="1">
      <alignment vertical="center"/>
    </xf>
    <xf numFmtId="0" fontId="4" fillId="0" borderId="8" xfId="0" applyFont="1" applyBorder="1" applyAlignment="1">
      <alignment vertical="center" wrapText="1"/>
    </xf>
    <xf numFmtId="0" fontId="4" fillId="0" borderId="26" xfId="0" applyFont="1" applyBorder="1" applyAlignment="1">
      <alignment vertical="center" wrapText="1"/>
    </xf>
    <xf numFmtId="0" fontId="3" fillId="0" borderId="21" xfId="0" applyFont="1" applyBorder="1" applyAlignment="1">
      <alignment vertical="center"/>
    </xf>
    <xf numFmtId="9" fontId="13" fillId="6" borderId="58" xfId="0" applyNumberFormat="1" applyFont="1" applyFill="1" applyBorder="1" applyAlignment="1">
      <alignment horizontal="center" vertical="center"/>
    </xf>
    <xf numFmtId="165" fontId="4" fillId="0" borderId="57" xfId="1" applyNumberFormat="1" applyFont="1" applyBorder="1" applyAlignment="1">
      <alignment horizontal="center" vertical="center"/>
    </xf>
    <xf numFmtId="0" fontId="4" fillId="0" borderId="57" xfId="0" applyFont="1" applyBorder="1" applyAlignment="1">
      <alignment vertical="center" wrapText="1"/>
    </xf>
    <xf numFmtId="0" fontId="4" fillId="0" borderId="64" xfId="0" applyFont="1" applyBorder="1" applyAlignment="1">
      <alignment vertical="center"/>
    </xf>
    <xf numFmtId="0" fontId="8" fillId="6" borderId="56" xfId="0" applyFont="1" applyFill="1" applyBorder="1" applyAlignment="1">
      <alignment horizontal="center" vertical="center" wrapText="1"/>
    </xf>
    <xf numFmtId="9" fontId="25" fillId="7" borderId="18" xfId="0" applyNumberFormat="1" applyFont="1" applyFill="1" applyBorder="1" applyAlignment="1">
      <alignment horizontal="center" vertical="center"/>
    </xf>
    <xf numFmtId="9" fontId="13" fillId="6" borderId="19" xfId="0" applyNumberFormat="1" applyFont="1" applyFill="1" applyBorder="1" applyAlignment="1">
      <alignment horizontal="center" vertical="center"/>
    </xf>
    <xf numFmtId="165" fontId="4" fillId="0" borderId="46" xfId="1" applyNumberFormat="1" applyFont="1" applyBorder="1" applyAlignment="1">
      <alignment horizontal="center" vertical="center"/>
    </xf>
    <xf numFmtId="44" fontId="22" fillId="0" borderId="46" xfId="1" applyFont="1" applyBorder="1" applyAlignment="1">
      <alignment horizontal="center" vertical="center"/>
    </xf>
    <xf numFmtId="44" fontId="22" fillId="0" borderId="46" xfId="1" applyFont="1" applyBorder="1" applyAlignment="1">
      <alignment vertical="center"/>
    </xf>
    <xf numFmtId="0" fontId="4" fillId="0" borderId="46" xfId="0" applyFont="1" applyBorder="1" applyAlignment="1">
      <alignment wrapText="1"/>
    </xf>
    <xf numFmtId="0" fontId="4" fillId="0" borderId="7" xfId="0" applyFont="1" applyBorder="1" applyAlignment="1">
      <alignment vertical="center" wrapText="1"/>
    </xf>
    <xf numFmtId="165" fontId="22" fillId="0" borderId="1" xfId="1" applyNumberFormat="1" applyFont="1" applyBorder="1" applyAlignment="1">
      <alignment horizontal="center" vertical="center"/>
    </xf>
    <xf numFmtId="165" fontId="22" fillId="0" borderId="19" xfId="1" applyNumberFormat="1" applyFont="1" applyBorder="1" applyAlignment="1">
      <alignment horizontal="center" vertical="center"/>
    </xf>
    <xf numFmtId="0" fontId="3" fillId="0" borderId="65" xfId="0" applyFont="1" applyBorder="1" applyAlignment="1">
      <alignment vertical="center"/>
    </xf>
    <xf numFmtId="165" fontId="16" fillId="0" borderId="66" xfId="1" applyNumberFormat="1" applyFont="1" applyBorder="1" applyAlignment="1">
      <alignment horizontal="center" vertical="center"/>
    </xf>
    <xf numFmtId="44" fontId="22" fillId="0" borderId="66" xfId="1" applyFont="1" applyBorder="1" applyAlignment="1">
      <alignment horizontal="center" vertical="center"/>
    </xf>
    <xf numFmtId="44" fontId="22" fillId="0" borderId="66" xfId="1" applyFont="1" applyBorder="1" applyAlignment="1">
      <alignment vertical="center"/>
    </xf>
    <xf numFmtId="44" fontId="22" fillId="0" borderId="67" xfId="1" applyFont="1" applyBorder="1" applyAlignment="1">
      <alignment vertical="center"/>
    </xf>
    <xf numFmtId="0" fontId="4" fillId="0" borderId="66" xfId="0" applyFont="1" applyBorder="1" applyAlignment="1">
      <alignment vertical="center" wrapText="1"/>
    </xf>
    <xf numFmtId="0" fontId="4" fillId="0" borderId="68" xfId="0" applyFont="1" applyBorder="1" applyAlignment="1">
      <alignment vertical="center"/>
    </xf>
    <xf numFmtId="0" fontId="3" fillId="0" borderId="30" xfId="0" applyFont="1" applyBorder="1" applyAlignment="1">
      <alignment vertical="center"/>
    </xf>
    <xf numFmtId="165" fontId="22" fillId="0" borderId="2" xfId="1" applyNumberFormat="1" applyFont="1" applyBorder="1" applyAlignment="1">
      <alignment horizontal="center" vertical="center"/>
    </xf>
    <xf numFmtId="9" fontId="22" fillId="0" borderId="57" xfId="0" applyNumberFormat="1" applyFont="1" applyBorder="1" applyAlignment="1">
      <alignment horizontal="center" vertical="center"/>
    </xf>
    <xf numFmtId="165" fontId="15" fillId="0" borderId="57" xfId="1" applyNumberFormat="1" applyFont="1" applyBorder="1"/>
    <xf numFmtId="165" fontId="16" fillId="0" borderId="69" xfId="1" applyNumberFormat="1" applyFont="1" applyBorder="1" applyAlignment="1">
      <alignment horizontal="center" vertical="center"/>
    </xf>
    <xf numFmtId="0" fontId="3" fillId="0" borderId="29" xfId="0" applyFont="1" applyBorder="1" applyAlignment="1">
      <alignment horizontal="right" vertical="center"/>
    </xf>
    <xf numFmtId="0" fontId="22" fillId="0" borderId="57" xfId="0" applyFont="1" applyBorder="1" applyAlignment="1">
      <alignment horizontal="left" vertical="center" wrapText="1"/>
    </xf>
    <xf numFmtId="9" fontId="22" fillId="0" borderId="55" xfId="0" applyNumberFormat="1" applyFont="1" applyBorder="1" applyAlignment="1">
      <alignment horizontal="center" vertical="center"/>
    </xf>
    <xf numFmtId="165" fontId="16" fillId="0" borderId="55" xfId="1" applyNumberFormat="1" applyFont="1" applyBorder="1" applyAlignment="1">
      <alignment horizontal="center" vertical="center"/>
    </xf>
    <xf numFmtId="9" fontId="25" fillId="6" borderId="8" xfId="0" applyNumberFormat="1" applyFont="1" applyFill="1" applyBorder="1" applyAlignment="1">
      <alignment horizontal="center" vertical="center"/>
    </xf>
    <xf numFmtId="165" fontId="15" fillId="0" borderId="1" xfId="1" applyNumberFormat="1" applyFont="1" applyBorder="1" applyAlignment="1">
      <alignment vertical="center"/>
    </xf>
    <xf numFmtId="0" fontId="14" fillId="6" borderId="11" xfId="0" applyFont="1" applyFill="1" applyBorder="1" applyAlignment="1">
      <alignment vertical="center"/>
    </xf>
    <xf numFmtId="0" fontId="11" fillId="6" borderId="15" xfId="0" applyFont="1" applyFill="1" applyBorder="1" applyAlignment="1">
      <alignment vertical="center" wrapText="1"/>
    </xf>
    <xf numFmtId="0" fontId="25" fillId="6" borderId="15" xfId="0" applyFont="1" applyFill="1" applyBorder="1" applyAlignment="1">
      <alignment horizontal="left" vertical="center" wrapText="1"/>
    </xf>
    <xf numFmtId="9" fontId="25" fillId="6" borderId="15" xfId="0" applyNumberFormat="1" applyFont="1" applyFill="1" applyBorder="1" applyAlignment="1">
      <alignment horizontal="center" vertical="center"/>
    </xf>
    <xf numFmtId="165" fontId="11" fillId="6" borderId="15" xfId="1" applyNumberFormat="1" applyFont="1" applyFill="1" applyBorder="1" applyAlignment="1">
      <alignment horizontal="center" vertical="center"/>
    </xf>
    <xf numFmtId="44" fontId="25" fillId="6" borderId="15" xfId="1" applyFont="1" applyFill="1" applyBorder="1" applyAlignment="1">
      <alignment horizontal="center" vertical="center"/>
    </xf>
    <xf numFmtId="44" fontId="25" fillId="6" borderId="15" xfId="1" applyFont="1" applyFill="1" applyBorder="1" applyAlignment="1">
      <alignment vertical="center"/>
    </xf>
    <xf numFmtId="0" fontId="11" fillId="6" borderId="15" xfId="0" applyFont="1" applyFill="1" applyBorder="1" applyAlignment="1">
      <alignment wrapText="1"/>
    </xf>
    <xf numFmtId="0" fontId="11" fillId="6" borderId="47" xfId="0" applyFont="1" applyFill="1" applyBorder="1" applyAlignment="1">
      <alignment vertical="center"/>
    </xf>
    <xf numFmtId="165" fontId="4" fillId="0" borderId="57" xfId="1" applyNumberFormat="1" applyFont="1" applyBorder="1" applyAlignment="1">
      <alignment vertical="center"/>
    </xf>
    <xf numFmtId="0" fontId="3" fillId="0" borderId="10" xfId="0" applyFont="1" applyBorder="1" applyAlignment="1">
      <alignment vertical="center"/>
    </xf>
    <xf numFmtId="9" fontId="22" fillId="0" borderId="15" xfId="0" applyNumberFormat="1" applyFont="1" applyBorder="1" applyAlignment="1">
      <alignment horizontal="center" vertical="center"/>
    </xf>
    <xf numFmtId="165" fontId="4" fillId="0" borderId="15" xfId="1" applyNumberFormat="1" applyFont="1" applyBorder="1"/>
    <xf numFmtId="0" fontId="3" fillId="0" borderId="70" xfId="0" applyFont="1" applyBorder="1" applyAlignment="1">
      <alignment vertical="center"/>
    </xf>
    <xf numFmtId="0" fontId="8" fillId="6" borderId="70" xfId="0" applyFont="1" applyFill="1" applyBorder="1" applyAlignment="1">
      <alignment horizontal="center" vertical="center" wrapText="1"/>
    </xf>
    <xf numFmtId="9" fontId="4" fillId="0" borderId="2" xfId="0" applyNumberFormat="1" applyFont="1" applyBorder="1" applyAlignment="1">
      <alignment horizontal="center" vertical="center" wrapText="1"/>
    </xf>
    <xf numFmtId="165" fontId="4" fillId="0" borderId="2" xfId="1" applyNumberFormat="1" applyFont="1" applyBorder="1" applyAlignment="1">
      <alignment horizontal="center" vertical="center" wrapText="1"/>
    </xf>
    <xf numFmtId="44" fontId="4" fillId="0" borderId="2" xfId="1" applyFont="1" applyBorder="1" applyAlignment="1">
      <alignment horizontal="center" vertical="center" wrapText="1"/>
    </xf>
    <xf numFmtId="44" fontId="4" fillId="0" borderId="2" xfId="1" applyFont="1" applyBorder="1" applyAlignment="1">
      <alignment vertical="center" wrapText="1"/>
    </xf>
    <xf numFmtId="9" fontId="22" fillId="0" borderId="6" xfId="0" applyNumberFormat="1" applyFont="1" applyBorder="1" applyAlignment="1">
      <alignment horizontal="center" vertical="center" wrapText="1"/>
    </xf>
    <xf numFmtId="165" fontId="15" fillId="0" borderId="6" xfId="1" applyNumberFormat="1" applyFont="1" applyBorder="1" applyAlignment="1">
      <alignment wrapText="1"/>
    </xf>
    <xf numFmtId="44" fontId="22" fillId="0" borderId="6" xfId="1" applyFont="1" applyBorder="1" applyAlignment="1">
      <alignment wrapText="1"/>
    </xf>
    <xf numFmtId="44" fontId="22" fillId="0" borderId="6" xfId="1" applyFont="1" applyBorder="1"/>
    <xf numFmtId="165" fontId="15" fillId="0" borderId="6" xfId="1" applyNumberFormat="1" applyFont="1" applyBorder="1" applyAlignment="1">
      <alignment vertical="center"/>
    </xf>
    <xf numFmtId="0" fontId="3" fillId="0" borderId="56" xfId="0" applyFont="1" applyBorder="1" applyAlignment="1">
      <alignment horizontal="center" vertical="center"/>
    </xf>
    <xf numFmtId="9" fontId="4" fillId="0" borderId="57" xfId="0" applyNumberFormat="1" applyFont="1" applyBorder="1" applyAlignment="1">
      <alignment horizontal="center" vertical="center"/>
    </xf>
    <xf numFmtId="0" fontId="3" fillId="0" borderId="29" xfId="0" applyFont="1" applyBorder="1" applyAlignment="1">
      <alignment horizontal="center" vertical="center"/>
    </xf>
    <xf numFmtId="9" fontId="11" fillId="7" borderId="8" xfId="0" applyNumberFormat="1" applyFont="1" applyFill="1" applyBorder="1" applyAlignment="1">
      <alignment horizontal="center" vertical="center"/>
    </xf>
    <xf numFmtId="9" fontId="13" fillId="5" borderId="2" xfId="0" applyNumberFormat="1" applyFont="1" applyFill="1" applyBorder="1" applyAlignment="1">
      <alignment horizontal="center" vertical="center"/>
    </xf>
    <xf numFmtId="9" fontId="13" fillId="5" borderId="16" xfId="0" applyNumberFormat="1" applyFont="1" applyFill="1" applyBorder="1" applyAlignment="1">
      <alignment horizontal="center" vertical="center"/>
    </xf>
    <xf numFmtId="165" fontId="4" fillId="0" borderId="16" xfId="1" applyNumberFormat="1" applyFont="1" applyBorder="1" applyAlignment="1">
      <alignment horizontal="center" vertical="center"/>
    </xf>
    <xf numFmtId="9" fontId="12" fillId="0" borderId="58" xfId="0" applyNumberFormat="1" applyFont="1" applyBorder="1" applyAlignment="1">
      <alignment horizontal="center" vertical="center"/>
    </xf>
    <xf numFmtId="165" fontId="12" fillId="0" borderId="58" xfId="1" applyNumberFormat="1" applyFont="1" applyBorder="1" applyAlignment="1">
      <alignment horizontal="center" vertical="center"/>
    </xf>
    <xf numFmtId="0" fontId="3" fillId="0" borderId="32" xfId="0" applyFont="1" applyBorder="1" applyAlignment="1">
      <alignment vertical="center"/>
    </xf>
    <xf numFmtId="0" fontId="22" fillId="0" borderId="6" xfId="0" applyFont="1" applyBorder="1" applyAlignment="1">
      <alignment horizontal="left" vertical="center"/>
    </xf>
    <xf numFmtId="0" fontId="22" fillId="0" borderId="6" xfId="0" applyFont="1" applyBorder="1" applyAlignment="1">
      <alignment horizontal="left" vertical="center" wrapText="1"/>
    </xf>
    <xf numFmtId="165" fontId="4" fillId="0" borderId="6" xfId="1" applyNumberFormat="1" applyFont="1" applyBorder="1"/>
    <xf numFmtId="0" fontId="22" fillId="0" borderId="16" xfId="0" applyFont="1" applyBorder="1" applyAlignment="1">
      <alignment horizontal="left" vertical="center" wrapText="1"/>
    </xf>
    <xf numFmtId="0" fontId="3" fillId="0" borderId="55" xfId="0" applyFont="1" applyBorder="1" applyAlignment="1">
      <alignment vertical="center"/>
    </xf>
    <xf numFmtId="0" fontId="3" fillId="0" borderId="30" xfId="0" applyFont="1" applyBorder="1" applyAlignment="1">
      <alignment horizontal="center" vertical="center"/>
    </xf>
    <xf numFmtId="0" fontId="22" fillId="0" borderId="6" xfId="0" applyFont="1" applyBorder="1" applyAlignment="1">
      <alignment vertical="center"/>
    </xf>
    <xf numFmtId="0" fontId="22" fillId="0" borderId="19" xfId="0" applyFont="1" applyBorder="1" applyAlignment="1">
      <alignment vertical="center" wrapText="1"/>
    </xf>
    <xf numFmtId="0" fontId="22" fillId="0" borderId="16" xfId="0" applyFont="1" applyBorder="1" applyAlignment="1">
      <alignment vertical="center"/>
    </xf>
    <xf numFmtId="0" fontId="22" fillId="0" borderId="16" xfId="0" applyFont="1" applyBorder="1" applyAlignment="1">
      <alignment vertical="center" wrapText="1"/>
    </xf>
    <xf numFmtId="0" fontId="22" fillId="0" borderId="46" xfId="0" applyFont="1" applyBorder="1" applyAlignment="1">
      <alignment vertical="center" wrapText="1"/>
    </xf>
    <xf numFmtId="0" fontId="22" fillId="0" borderId="15" xfId="0" applyFont="1" applyBorder="1" applyAlignment="1">
      <alignment horizontal="left" vertical="center" wrapText="1"/>
    </xf>
    <xf numFmtId="0" fontId="22" fillId="0" borderId="30" xfId="0" applyFont="1" applyBorder="1" applyAlignment="1">
      <alignment horizontal="left" vertical="center" wrapText="1"/>
    </xf>
    <xf numFmtId="0" fontId="22" fillId="0" borderId="50" xfId="0" applyFont="1" applyBorder="1" applyAlignment="1">
      <alignment horizontal="left" vertical="center" wrapText="1"/>
    </xf>
    <xf numFmtId="0" fontId="22" fillId="0" borderId="51" xfId="0" applyFont="1" applyBorder="1" applyAlignment="1">
      <alignment horizontal="left" vertical="center" wrapText="1"/>
    </xf>
    <xf numFmtId="0" fontId="22" fillId="0" borderId="41" xfId="0" applyFont="1" applyBorder="1" applyAlignment="1">
      <alignment horizontal="left" vertical="center"/>
    </xf>
    <xf numFmtId="0" fontId="22" fillId="0" borderId="35" xfId="0" applyFont="1" applyBorder="1" applyAlignment="1">
      <alignment horizontal="left" vertical="center" wrapText="1"/>
    </xf>
    <xf numFmtId="0" fontId="22" fillId="0" borderId="37" xfId="0" applyFont="1" applyBorder="1" applyAlignment="1">
      <alignment vertical="center" wrapText="1"/>
    </xf>
    <xf numFmtId="0" fontId="22" fillId="0" borderId="9" xfId="0" applyFont="1" applyBorder="1" applyAlignment="1">
      <alignment vertical="center"/>
    </xf>
    <xf numFmtId="0" fontId="22" fillId="0" borderId="9" xfId="0" applyFont="1" applyBorder="1" applyAlignment="1">
      <alignment vertical="center" wrapText="1"/>
    </xf>
    <xf numFmtId="0" fontId="22" fillId="0" borderId="5" xfId="0" applyFont="1" applyBorder="1" applyAlignment="1">
      <alignment horizontal="left" vertical="center" wrapText="1"/>
    </xf>
    <xf numFmtId="0" fontId="22" fillId="0" borderId="16" xfId="0" applyFont="1" applyBorder="1" applyAlignment="1">
      <alignment horizontal="left" vertical="center"/>
    </xf>
    <xf numFmtId="0" fontId="22" fillId="0" borderId="57" xfId="0" applyFont="1" applyBorder="1" applyAlignment="1">
      <alignment vertical="center" wrapText="1"/>
    </xf>
    <xf numFmtId="0" fontId="22" fillId="0" borderId="7" xfId="0" applyFont="1" applyBorder="1" applyAlignment="1">
      <alignment vertical="center" wrapText="1"/>
    </xf>
    <xf numFmtId="0" fontId="22" fillId="0" borderId="24" xfId="0" applyFont="1" applyBorder="1" applyAlignment="1">
      <alignment vertical="center" wrapText="1"/>
    </xf>
    <xf numFmtId="9" fontId="13" fillId="0" borderId="16" xfId="0" applyNumberFormat="1" applyFont="1" applyBorder="1" applyAlignment="1">
      <alignment horizontal="center" vertical="center"/>
    </xf>
    <xf numFmtId="9" fontId="22" fillId="6" borderId="1" xfId="0" applyNumberFormat="1" applyFont="1" applyFill="1" applyBorder="1" applyAlignment="1">
      <alignment horizontal="center" vertical="center"/>
    </xf>
    <xf numFmtId="0" fontId="22" fillId="0" borderId="4" xfId="0" applyFont="1" applyBorder="1" applyAlignment="1">
      <alignment horizontal="left" vertical="center" wrapText="1"/>
    </xf>
    <xf numFmtId="0" fontId="22" fillId="0" borderId="58" xfId="0" applyFont="1" applyBorder="1" applyAlignment="1">
      <alignment vertical="center" wrapText="1"/>
    </xf>
    <xf numFmtId="9" fontId="26" fillId="0" borderId="19" xfId="0" applyNumberFormat="1" applyFont="1" applyBorder="1" applyAlignment="1">
      <alignment horizontal="center" vertical="center"/>
    </xf>
    <xf numFmtId="0" fontId="22" fillId="0" borderId="8" xfId="0" applyFont="1" applyBorder="1" applyAlignment="1">
      <alignment horizontal="left" vertical="center" wrapText="1"/>
    </xf>
    <xf numFmtId="0" fontId="22" fillId="0" borderId="1" xfId="0" applyFont="1" applyBorder="1" applyAlignment="1">
      <alignment vertical="center"/>
    </xf>
    <xf numFmtId="9" fontId="4" fillId="6" borderId="16" xfId="0" applyNumberFormat="1" applyFont="1" applyFill="1" applyBorder="1" applyAlignment="1">
      <alignment horizontal="center" vertical="center"/>
    </xf>
    <xf numFmtId="0" fontId="22" fillId="0" borderId="46" xfId="0" applyFont="1" applyBorder="1" applyAlignment="1">
      <alignment horizontal="left" vertical="center" wrapText="1"/>
    </xf>
    <xf numFmtId="0" fontId="22" fillId="0" borderId="66" xfId="0" applyFont="1" applyBorder="1" applyAlignment="1">
      <alignment horizontal="left" vertical="center" wrapText="1"/>
    </xf>
    <xf numFmtId="0" fontId="22" fillId="0" borderId="58" xfId="0" applyFont="1" applyBorder="1" applyAlignment="1">
      <alignment horizontal="left" vertical="center" wrapText="1"/>
    </xf>
    <xf numFmtId="0" fontId="22" fillId="0" borderId="59" xfId="0" applyFont="1" applyBorder="1" applyAlignment="1">
      <alignment horizontal="left" vertical="center" wrapText="1"/>
    </xf>
    <xf numFmtId="0" fontId="22" fillId="0" borderId="1" xfId="0" applyFont="1" applyBorder="1" applyAlignment="1">
      <alignment horizontal="left" vertical="center"/>
    </xf>
    <xf numFmtId="0" fontId="12" fillId="0" borderId="19" xfId="0" applyFont="1" applyBorder="1" applyAlignment="1">
      <alignment vertical="center" wrapText="1"/>
    </xf>
    <xf numFmtId="0" fontId="4" fillId="0" borderId="62" xfId="0" applyFont="1" applyBorder="1" applyAlignment="1">
      <alignment vertical="center"/>
    </xf>
    <xf numFmtId="0" fontId="22" fillId="0" borderId="62" xfId="0" applyFont="1" applyBorder="1" applyAlignment="1">
      <alignment vertical="center"/>
    </xf>
    <xf numFmtId="0" fontId="22" fillId="0" borderId="62" xfId="0" applyFont="1" applyBorder="1" applyAlignment="1">
      <alignment vertical="center" wrapText="1"/>
    </xf>
    <xf numFmtId="9" fontId="13" fillId="5" borderId="62" xfId="0" applyNumberFormat="1" applyFont="1" applyFill="1" applyBorder="1" applyAlignment="1">
      <alignment horizontal="center" vertical="center"/>
    </xf>
    <xf numFmtId="165" fontId="16" fillId="0" borderId="62" xfId="1" applyNumberFormat="1" applyFont="1" applyBorder="1" applyAlignment="1">
      <alignment horizontal="center" vertical="center"/>
    </xf>
    <xf numFmtId="44" fontId="22" fillId="0" borderId="62" xfId="1" applyFont="1" applyBorder="1" applyAlignment="1">
      <alignment horizontal="center" vertical="center"/>
    </xf>
    <xf numFmtId="0" fontId="11" fillId="5" borderId="3" xfId="0" applyFont="1" applyFill="1" applyBorder="1" applyAlignment="1">
      <alignment vertical="center" wrapText="1"/>
    </xf>
    <xf numFmtId="0" fontId="4" fillId="0" borderId="4" xfId="0" applyFont="1" applyBorder="1" applyAlignment="1">
      <alignment vertical="center" wrapText="1"/>
    </xf>
    <xf numFmtId="0" fontId="12" fillId="0" borderId="41" xfId="0" applyFont="1" applyBorder="1" applyAlignment="1">
      <alignment vertical="center" wrapText="1"/>
    </xf>
    <xf numFmtId="165" fontId="16" fillId="0" borderId="19" xfId="1" applyNumberFormat="1" applyFont="1" applyBorder="1" applyAlignment="1">
      <alignment horizontal="center" vertical="center" wrapText="1"/>
    </xf>
    <xf numFmtId="44" fontId="22" fillId="0" borderId="19" xfId="1" applyFont="1" applyBorder="1" applyAlignment="1">
      <alignment horizontal="center" vertical="center" wrapText="1"/>
    </xf>
    <xf numFmtId="9" fontId="4" fillId="0" borderId="1" xfId="0" applyNumberFormat="1" applyFont="1" applyBorder="1" applyAlignment="1">
      <alignment horizontal="center" vertical="center" wrapText="1"/>
    </xf>
    <xf numFmtId="165" fontId="4" fillId="0" borderId="1" xfId="1" applyNumberFormat="1" applyFont="1" applyBorder="1" applyAlignment="1">
      <alignment horizontal="center" vertical="center" wrapText="1"/>
    </xf>
    <xf numFmtId="44" fontId="4" fillId="0" borderId="1" xfId="1" applyFont="1" applyBorder="1" applyAlignment="1">
      <alignment horizontal="center" vertical="center" wrapText="1"/>
    </xf>
    <xf numFmtId="44" fontId="4" fillId="0" borderId="1" xfId="1" applyFont="1" applyBorder="1" applyAlignment="1">
      <alignment vertical="center" wrapText="1"/>
    </xf>
    <xf numFmtId="165" fontId="4" fillId="0" borderId="1" xfId="1" applyNumberFormat="1" applyFont="1" applyBorder="1" applyAlignment="1">
      <alignment vertical="center" wrapText="1"/>
    </xf>
    <xf numFmtId="0" fontId="22" fillId="0" borderId="9" xfId="0" applyFont="1" applyBorder="1" applyAlignment="1">
      <alignment horizontal="left" vertical="center"/>
    </xf>
    <xf numFmtId="0" fontId="4" fillId="0" borderId="2" xfId="0" applyFont="1" applyBorder="1" applyAlignment="1">
      <alignment wrapText="1"/>
    </xf>
    <xf numFmtId="0" fontId="4" fillId="0" borderId="19" xfId="0" applyFont="1" applyBorder="1" applyAlignment="1">
      <alignment horizontal="left" vertical="center" wrapText="1"/>
    </xf>
    <xf numFmtId="0" fontId="4" fillId="0" borderId="46" xfId="0" applyFont="1" applyBorder="1" applyAlignment="1">
      <alignment horizontal="left" vertical="center" wrapText="1"/>
    </xf>
    <xf numFmtId="9" fontId="22" fillId="0" borderId="46" xfId="0" applyNumberFormat="1" applyFont="1" applyBorder="1" applyAlignment="1">
      <alignment horizontal="center" vertical="center" wrapText="1"/>
    </xf>
    <xf numFmtId="165" fontId="16" fillId="0" borderId="46" xfId="1" applyNumberFormat="1" applyFont="1" applyBorder="1" applyAlignment="1">
      <alignment horizontal="center" vertical="center" wrapText="1"/>
    </xf>
    <xf numFmtId="44" fontId="22" fillId="0" borderId="46" xfId="1" applyFont="1" applyBorder="1" applyAlignment="1">
      <alignment horizontal="center" vertical="center" wrapText="1"/>
    </xf>
    <xf numFmtId="44" fontId="22" fillId="0" borderId="46" xfId="1" applyFont="1" applyBorder="1" applyAlignment="1">
      <alignment vertical="center" wrapText="1"/>
    </xf>
    <xf numFmtId="0" fontId="4" fillId="0" borderId="48" xfId="0" applyFont="1" applyBorder="1"/>
    <xf numFmtId="9" fontId="11" fillId="0" borderId="18" xfId="0" applyNumberFormat="1" applyFont="1" applyBorder="1" applyAlignment="1">
      <alignment horizontal="center" vertical="center"/>
    </xf>
    <xf numFmtId="0" fontId="4" fillId="0" borderId="57" xfId="0" applyFont="1" applyBorder="1" applyAlignment="1">
      <alignment horizontal="left" vertical="center"/>
    </xf>
    <xf numFmtId="9" fontId="22" fillId="0" borderId="58" xfId="0" applyNumberFormat="1" applyFont="1" applyBorder="1" applyAlignment="1">
      <alignment horizontal="center" vertical="center"/>
    </xf>
    <xf numFmtId="165" fontId="16" fillId="0" borderId="57" xfId="1" applyNumberFormat="1" applyFont="1" applyBorder="1" applyAlignment="1">
      <alignment horizontal="center"/>
    </xf>
    <xf numFmtId="0" fontId="4" fillId="0" borderId="57" xfId="0" applyFont="1" applyBorder="1" applyAlignment="1">
      <alignment wrapText="1"/>
    </xf>
    <xf numFmtId="0" fontId="3" fillId="0" borderId="56" xfId="0" applyFont="1" applyBorder="1"/>
    <xf numFmtId="44" fontId="22" fillId="0" borderId="8" xfId="1" applyFont="1" applyBorder="1" applyAlignment="1">
      <alignment horizontal="center" vertical="center"/>
    </xf>
    <xf numFmtId="0" fontId="11" fillId="6" borderId="27" xfId="0" applyFont="1" applyFill="1" applyBorder="1" applyAlignment="1">
      <alignment vertical="center" wrapText="1"/>
    </xf>
    <xf numFmtId="0" fontId="11" fillId="3" borderId="25" xfId="0" applyFont="1" applyFill="1" applyBorder="1" applyAlignment="1">
      <alignment vertical="center" wrapText="1"/>
    </xf>
    <xf numFmtId="0" fontId="4" fillId="0" borderId="64" xfId="0" applyFont="1" applyBorder="1" applyAlignment="1">
      <alignment vertical="center" wrapText="1"/>
    </xf>
    <xf numFmtId="9" fontId="13" fillId="6" borderId="6" xfId="0" applyNumberFormat="1" applyFont="1" applyFill="1" applyBorder="1" applyAlignment="1">
      <alignment horizontal="center" vertical="center"/>
    </xf>
    <xf numFmtId="0" fontId="3" fillId="9" borderId="0" xfId="0" applyFont="1" applyFill="1"/>
    <xf numFmtId="9" fontId="22" fillId="0" borderId="67" xfId="0" applyNumberFormat="1" applyFont="1" applyBorder="1" applyAlignment="1">
      <alignment horizontal="center" vertical="center"/>
    </xf>
    <xf numFmtId="0" fontId="4" fillId="0" borderId="8" xfId="0" applyFont="1" applyBorder="1" applyAlignment="1">
      <alignment vertical="center"/>
    </xf>
    <xf numFmtId="165" fontId="16" fillId="0" borderId="8" xfId="1" applyNumberFormat="1" applyFont="1" applyBorder="1" applyAlignment="1">
      <alignment horizontal="center" vertical="center"/>
    </xf>
    <xf numFmtId="0" fontId="9" fillId="0" borderId="40" xfId="0" applyFont="1" applyBorder="1" applyAlignment="1">
      <alignment vertical="center"/>
    </xf>
    <xf numFmtId="0" fontId="3" fillId="0" borderId="40" xfId="0" applyFont="1" applyBorder="1" applyAlignment="1">
      <alignment horizontal="right" vertical="center"/>
    </xf>
    <xf numFmtId="0" fontId="22" fillId="0" borderId="41" xfId="0" applyFont="1" applyBorder="1" applyAlignment="1">
      <alignment horizontal="left" vertical="center" wrapText="1"/>
    </xf>
    <xf numFmtId="165" fontId="4" fillId="0" borderId="41" xfId="1" applyNumberFormat="1" applyFont="1" applyFill="1" applyBorder="1" applyAlignment="1">
      <alignment horizontal="center" vertical="center"/>
    </xf>
    <xf numFmtId="0" fontId="11" fillId="6" borderId="26" xfId="0" applyFont="1" applyFill="1" applyBorder="1" applyAlignment="1">
      <alignment vertical="center" wrapText="1"/>
    </xf>
    <xf numFmtId="0" fontId="25" fillId="6" borderId="8" xfId="0" applyFont="1" applyFill="1" applyBorder="1" applyAlignment="1">
      <alignment vertical="center" wrapText="1"/>
    </xf>
    <xf numFmtId="0" fontId="22" fillId="0" borderId="46" xfId="0" applyFont="1" applyBorder="1" applyAlignment="1">
      <alignment vertical="center"/>
    </xf>
    <xf numFmtId="9" fontId="22" fillId="0" borderId="46" xfId="0" applyNumberFormat="1" applyFont="1" applyBorder="1" applyAlignment="1">
      <alignment horizontal="center" vertical="center"/>
    </xf>
    <xf numFmtId="165" fontId="16" fillId="0" borderId="46" xfId="1" applyNumberFormat="1" applyFont="1" applyBorder="1" applyAlignment="1">
      <alignment horizontal="center" vertical="center"/>
    </xf>
    <xf numFmtId="9" fontId="22" fillId="0" borderId="8" xfId="0" applyNumberFormat="1" applyFont="1" applyBorder="1" applyAlignment="1">
      <alignment horizontal="center" vertical="center" wrapText="1"/>
    </xf>
    <xf numFmtId="0" fontId="8" fillId="6" borderId="31"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0" xfId="0" applyFont="1" applyFill="1" applyAlignment="1">
      <alignment horizontal="center" vertical="center" wrapText="1"/>
    </xf>
    <xf numFmtId="0" fontId="8" fillId="8" borderId="14" xfId="0" applyFont="1" applyFill="1" applyBorder="1" applyAlignment="1">
      <alignment horizontal="center" vertical="center" wrapText="1"/>
    </xf>
    <xf numFmtId="0" fontId="8" fillId="8" borderId="4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56"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0" xfId="0" applyFont="1" applyFill="1" applyAlignment="1">
      <alignment horizontal="center" vertical="center" wrapText="1"/>
    </xf>
    <xf numFmtId="0" fontId="9" fillId="6" borderId="14" xfId="0" applyFont="1" applyFill="1" applyBorder="1" applyAlignment="1">
      <alignment horizontal="center" vertical="center" wrapText="1"/>
    </xf>
    <xf numFmtId="0" fontId="8" fillId="8" borderId="36" xfId="0" applyFont="1" applyFill="1" applyBorder="1" applyAlignment="1">
      <alignment horizontal="center" vertical="center" wrapText="1"/>
    </xf>
    <xf numFmtId="0" fontId="3" fillId="0" borderId="36"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28" fillId="0" borderId="0" xfId="0" applyFont="1" applyAlignment="1">
      <alignment horizontal="center" vertical="center" wrapText="1"/>
    </xf>
    <xf numFmtId="0" fontId="29" fillId="0" borderId="0" xfId="0" applyFont="1"/>
  </cellXfs>
  <cellStyles count="2">
    <cellStyle name="Currency" xfId="1" builtinId="4"/>
    <cellStyle name="Normal" xfId="0" builtinId="0"/>
  </cellStyles>
  <dxfs count="14">
    <dxf>
      <font>
        <b val="0"/>
        <i val="0"/>
        <strike val="0"/>
        <condense val="0"/>
        <extend val="0"/>
        <outline val="0"/>
        <shadow val="0"/>
        <u val="none"/>
        <vertAlign val="baseline"/>
        <sz val="10"/>
        <color rgb="FF000000"/>
        <name val="Montserrat"/>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Montserrat"/>
        <scheme val="none"/>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Montserrat"/>
        <scheme val="none"/>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Montserrat"/>
        <scheme val="none"/>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Montserrat"/>
        <scheme val="none"/>
      </font>
      <numFmt numFmtId="165" formatCode="_(&quot;$&quot;* #,##0_);_(&quot;$&quot;* \(#,##0\);_(&quot;$&quot;* &quot;-&quot;??_);_(@_)"/>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Montserrat"/>
        <scheme val="none"/>
      </font>
      <numFmt numFmtId="34" formatCode="_(&quot;$&quot;* #,##0.00_);_(&quot;$&quot;* \(#,##0.00\);_(&quot;$&quot;* &quot;-&quot;??_);_(@_)"/>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Montserrat"/>
        <scheme val="none"/>
      </font>
      <numFmt numFmtId="34" formatCode="_(&quot;$&quot;* #,##0.00_);_(&quot;$&quot;* \(#,##0.00\);_(&quot;$&quot;* &quot;-&quot;??_);_(@_)"/>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Montserrat"/>
        <scheme val="none"/>
      </font>
      <numFmt numFmtId="165" formatCode="_(&quot;$&quot;* #,##0_);_(&quot;$&quot;* \(#,##0\);_(&quot;$&quot;* &quot;-&quot;??_);_(@_)"/>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Montserrat"/>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Montserrat"/>
        <scheme val="none"/>
      </font>
      <alignment horizontal="left" vertical="center" textRotation="0" wrapText="1" indent="0" justifyLastLine="0" shrinkToFit="0" readingOrder="0"/>
    </dxf>
    <dxf>
      <font>
        <strike val="0"/>
        <outline val="0"/>
        <shadow val="0"/>
        <u val="none"/>
        <vertAlign val="baseline"/>
        <name val="Montserrat"/>
        <scheme val="none"/>
      </font>
      <alignment horizontal="left" vertical="center" textRotation="0" wrapText="0" indent="0" justifyLastLine="0" shrinkToFit="0" readingOrder="0"/>
    </dxf>
    <dxf>
      <font>
        <b val="0"/>
        <i val="0"/>
        <strike val="0"/>
        <condense val="0"/>
        <extend val="0"/>
        <outline val="0"/>
        <shadow val="0"/>
        <u val="none"/>
        <vertAlign val="baseline"/>
        <sz val="10"/>
        <color rgb="FF000000"/>
        <name val="Montserrat"/>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Montserrat"/>
        <scheme val="none"/>
      </font>
    </dxf>
    <dxf>
      <font>
        <b/>
        <i val="0"/>
        <strike val="0"/>
        <condense val="0"/>
        <extend val="0"/>
        <outline val="0"/>
        <shadow val="0"/>
        <u val="none"/>
        <vertAlign val="baseline"/>
        <sz val="10"/>
        <color rgb="FF000000"/>
        <name val="Montserrat"/>
        <scheme val="none"/>
      </font>
      <fill>
        <patternFill>
          <fgColor indexed="64"/>
          <bgColor rgb="FF0070C0"/>
        </patternFill>
      </fill>
      <alignment horizontal="center" vertical="center" textRotation="90" wrapText="1" indent="0" justifyLastLine="0" shrinkToFit="0" readingOrder="0"/>
    </dxf>
  </dxfs>
  <tableStyles count="1" defaultTableStyle="TableStyleMedium2" defaultPivotStyle="PivotStyleLight16">
    <tableStyle name="Invisible" pivot="0" table="0" count="0" xr9:uid="{45BEA763-CE75-44B2-B32C-CE4D25DC05C6}"/>
  </tableStyles>
  <colors>
    <mruColors>
      <color rgb="FFE65E1A"/>
      <color rgb="FFFFFF66"/>
      <color rgb="FF000000"/>
      <color rgb="FFFFFE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500360F-16ED-4080-9CEF-268970879DAC}" name="Table3" displayName="Table3" ref="D9:O215" totalsRowShown="0" headerRowDxfId="13" dataDxfId="12">
  <autoFilter ref="D9:O215" xr:uid="{9500360F-16ED-4080-9CEF-268970879DAC}"/>
  <tableColumns count="12">
    <tableColumn id="1" xr3:uid="{681C2499-395F-4647-BB36-05729092A390}" name="Project Name" dataDxfId="11"/>
    <tableColumn id="41" xr3:uid="{D33B8369-720D-481C-AA1A-894900848403}" name="Limits" dataDxfId="10"/>
    <tableColumn id="34" xr3:uid="{AE0E1F7D-0F6C-4237-8026-33929F91F7FE}" name="Scope/Improvement" dataDxfId="9"/>
    <tableColumn id="2" xr3:uid="{AFF46234-AF9D-4E89-BF89-137CFFCD1A2E}" name="Ordinance/ CIP Completion Percentage" dataDxfId="8"/>
    <tableColumn id="3" xr3:uid="{CFFACBE0-C7D7-4678-A09E-6AE176809375}" name="Initial TransNet Cost ($2002)" dataDxfId="7" dataCellStyle="Currency"/>
    <tableColumn id="44" xr3:uid="{DD01F2F6-8CE6-4432-88BE-C84DFAB15433}" name="CIP Funds (millions)" dataDxfId="6" dataCellStyle="Currency"/>
    <tableColumn id="4" xr3:uid="{111933D2-6EBD-470E-82F2-B775C90DA1B6}" name="TransNet Funds (millions)" dataDxfId="5" dataCellStyle="Currency"/>
    <tableColumn id="5" xr3:uid="{6079852D-C431-4D8C-A66E-86442E6F1523}" name="Other Funds (millions)" dataDxfId="4" dataCellStyle="Currency">
      <calculatedColumnFormula>27.761+5+1+64.72+5.205+4.754+243.4+64.3+15.9</calculatedColumnFormula>
    </tableColumn>
    <tableColumn id="7" xr3:uid="{B45E699A-6BF3-4BF9-81F3-9D75B5786A17}" name="Comments on Completion %" dataDxfId="3"/>
    <tableColumn id="8" xr3:uid="{C68581FB-F9F7-4D7B-9F4A-1E1C52B9B7F5}" name="2021 Plan ID No." dataDxfId="2"/>
    <tableColumn id="9" xr3:uid="{C12664F9-F904-4279-85C8-9E27A8B9EBC0}" name="2021 RP Scope" dataDxfId="1"/>
    <tableColumn id="10" xr3:uid="{70AE8682-89E1-4244-A0D5-55A46DF32642}" name="Comments on RP Mapping"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12468-CA4B-4E60-86A5-899712F52B12}">
  <sheetPr>
    <pageSetUpPr fitToPage="1"/>
  </sheetPr>
  <dimension ref="A1:P629"/>
  <sheetViews>
    <sheetView tabSelected="1" topLeftCell="A7" zoomScaleNormal="100" workbookViewId="0">
      <selection activeCell="G237" sqref="G237"/>
    </sheetView>
  </sheetViews>
  <sheetFormatPr defaultColWidth="8.85546875" defaultRowHeight="15" outlineLevelCol="1" x14ac:dyDescent="0.3"/>
  <cols>
    <col min="1" max="1" width="9" style="1" bestFit="1" customWidth="1"/>
    <col min="2" max="2" width="11.5703125" style="374" customWidth="1"/>
    <col min="3" max="3" width="10" style="10" customWidth="1"/>
    <col min="4" max="4" width="47.140625" style="96" customWidth="1"/>
    <col min="5" max="5" width="39.28515625" style="96" customWidth="1"/>
    <col min="6" max="6" width="49.42578125" style="136" customWidth="1"/>
    <col min="7" max="7" width="15.140625" style="2" customWidth="1"/>
    <col min="8" max="8" width="8.140625" style="3" customWidth="1"/>
    <col min="9" max="9" width="11.42578125" style="3" bestFit="1" customWidth="1"/>
    <col min="10" max="10" width="10.85546875" style="2" customWidth="1" outlineLevel="1"/>
    <col min="11" max="11" width="13.140625" style="1" customWidth="1" outlineLevel="1"/>
    <col min="12" max="12" width="49" style="302" customWidth="1" outlineLevel="1"/>
    <col min="13" max="13" width="17.85546875" style="302" customWidth="1" outlineLevel="1"/>
    <col min="14" max="14" width="48.85546875" style="302" customWidth="1" outlineLevel="1"/>
    <col min="15" max="15" width="49.140625" style="1" customWidth="1" outlineLevel="1"/>
    <col min="16" max="16384" width="8.85546875" style="1"/>
  </cols>
  <sheetData>
    <row r="1" spans="1:15" s="59" customFormat="1" ht="27.75" hidden="1" x14ac:dyDescent="0.3">
      <c r="A1" s="59" t="s">
        <v>137</v>
      </c>
      <c r="B1" s="373"/>
      <c r="C1" s="93"/>
      <c r="D1" s="94"/>
      <c r="E1" s="94" t="s">
        <v>140</v>
      </c>
      <c r="F1" s="134"/>
      <c r="G1" s="60"/>
      <c r="H1" s="61"/>
      <c r="I1" s="61"/>
      <c r="J1" s="60"/>
      <c r="L1" s="301" t="s">
        <v>138</v>
      </c>
      <c r="M1" s="301"/>
      <c r="N1" s="301" t="s">
        <v>145</v>
      </c>
    </row>
    <row r="2" spans="1:15" s="59" customFormat="1" hidden="1" x14ac:dyDescent="0.3">
      <c r="A2" s="62" t="s">
        <v>78</v>
      </c>
      <c r="B2" s="373"/>
      <c r="C2" s="93" t="s">
        <v>75</v>
      </c>
      <c r="D2" s="94"/>
      <c r="E2" s="94" t="s">
        <v>141</v>
      </c>
      <c r="F2" s="134" t="s">
        <v>142</v>
      </c>
      <c r="G2" s="60"/>
      <c r="H2" s="61"/>
      <c r="I2" s="61"/>
      <c r="J2" s="60"/>
      <c r="L2" s="301"/>
      <c r="M2" s="301"/>
      <c r="N2" s="301"/>
    </row>
    <row r="3" spans="1:15" s="59" customFormat="1" hidden="1" x14ac:dyDescent="0.3">
      <c r="A3" s="62" t="s">
        <v>76</v>
      </c>
      <c r="B3" s="373"/>
      <c r="C3" s="93" t="s">
        <v>77</v>
      </c>
      <c r="D3" s="94"/>
      <c r="E3" s="94"/>
      <c r="F3" s="134" t="s">
        <v>143</v>
      </c>
      <c r="G3" s="60"/>
      <c r="H3" s="61"/>
      <c r="I3" s="61"/>
      <c r="J3" s="60"/>
      <c r="L3" s="301"/>
      <c r="M3" s="301"/>
      <c r="N3" s="301"/>
    </row>
    <row r="4" spans="1:15" s="59" customFormat="1" hidden="1" x14ac:dyDescent="0.3">
      <c r="A4" s="59" t="s">
        <v>132</v>
      </c>
      <c r="B4" s="373"/>
      <c r="C4" s="93" t="s">
        <v>135</v>
      </c>
      <c r="D4" s="94"/>
      <c r="E4" s="94"/>
      <c r="F4" s="134"/>
      <c r="G4" s="61"/>
      <c r="H4" s="60"/>
      <c r="I4" s="60"/>
      <c r="L4" s="301"/>
      <c r="M4" s="301"/>
      <c r="N4" s="301"/>
    </row>
    <row r="5" spans="1:15" s="59" customFormat="1" hidden="1" x14ac:dyDescent="0.3">
      <c r="A5" s="59" t="s">
        <v>133</v>
      </c>
      <c r="B5" s="373"/>
      <c r="C5" s="93" t="s">
        <v>136</v>
      </c>
      <c r="D5" s="94"/>
      <c r="E5" s="94"/>
      <c r="F5" s="134"/>
      <c r="G5" s="61"/>
      <c r="H5" s="60"/>
      <c r="I5" s="60"/>
      <c r="L5" s="301"/>
      <c r="M5" s="301"/>
      <c r="N5" s="301"/>
    </row>
    <row r="6" spans="1:15" s="59" customFormat="1" hidden="1" x14ac:dyDescent="0.3">
      <c r="A6" s="62" t="s">
        <v>134</v>
      </c>
      <c r="B6" s="373"/>
      <c r="C6" s="93" t="s">
        <v>74</v>
      </c>
      <c r="D6" s="94"/>
      <c r="E6" s="94"/>
      <c r="F6" s="134"/>
      <c r="G6" s="61"/>
      <c r="H6" s="60"/>
      <c r="I6" s="60"/>
      <c r="L6" s="301"/>
      <c r="M6" s="301"/>
      <c r="N6" s="301"/>
    </row>
    <row r="7" spans="1:15" ht="24" x14ac:dyDescent="0.3">
      <c r="A7" s="172" t="s">
        <v>315</v>
      </c>
      <c r="D7" s="95"/>
      <c r="E7" s="95"/>
      <c r="F7" s="135"/>
      <c r="G7" s="3"/>
      <c r="H7" s="2"/>
      <c r="I7" s="2"/>
      <c r="J7" s="1"/>
    </row>
    <row r="8" spans="1:15" ht="18" x14ac:dyDescent="0.35">
      <c r="A8" s="607" t="s">
        <v>788</v>
      </c>
      <c r="B8" s="606"/>
      <c r="D8" s="125"/>
      <c r="G8" s="133"/>
      <c r="H8" s="2"/>
      <c r="I8" s="2"/>
      <c r="J8" s="1"/>
    </row>
    <row r="9" spans="1:15" s="76" customFormat="1" ht="81.599999999999994" customHeight="1" thickBot="1" x14ac:dyDescent="0.25">
      <c r="A9" s="5" t="s">
        <v>1</v>
      </c>
      <c r="B9" s="5" t="s">
        <v>322</v>
      </c>
      <c r="C9" s="5" t="s">
        <v>2</v>
      </c>
      <c r="D9" s="6" t="s">
        <v>19</v>
      </c>
      <c r="E9" s="6" t="s">
        <v>3</v>
      </c>
      <c r="F9" s="6" t="s">
        <v>82</v>
      </c>
      <c r="G9" s="6" t="s">
        <v>340</v>
      </c>
      <c r="H9" s="7" t="s">
        <v>4</v>
      </c>
      <c r="I9" s="7" t="s">
        <v>372</v>
      </c>
      <c r="J9" s="7" t="s">
        <v>361</v>
      </c>
      <c r="K9" s="7" t="s">
        <v>362</v>
      </c>
      <c r="L9" s="6" t="s">
        <v>587</v>
      </c>
      <c r="M9" s="6" t="s">
        <v>144</v>
      </c>
      <c r="N9" s="6" t="s">
        <v>139</v>
      </c>
      <c r="O9" s="6" t="s">
        <v>627</v>
      </c>
    </row>
    <row r="10" spans="1:15" s="36" customFormat="1" ht="45.75" thickBot="1" x14ac:dyDescent="0.25">
      <c r="A10" s="173">
        <v>1</v>
      </c>
      <c r="B10" s="375"/>
      <c r="C10" s="194"/>
      <c r="D10" s="174" t="s">
        <v>200</v>
      </c>
      <c r="E10" s="174" t="s">
        <v>5</v>
      </c>
      <c r="F10" s="175" t="s">
        <v>201</v>
      </c>
      <c r="G10" s="185">
        <f>(0.99*G11)+(0.01*G13)</f>
        <v>0.99099999999999999</v>
      </c>
      <c r="H10" s="176">
        <v>220</v>
      </c>
      <c r="I10" s="177"/>
      <c r="J10" s="178"/>
      <c r="K10" s="179"/>
      <c r="L10" s="303"/>
      <c r="M10" s="154" t="s">
        <v>6</v>
      </c>
      <c r="N10" s="303" t="s">
        <v>6</v>
      </c>
      <c r="O10" s="303" t="s">
        <v>694</v>
      </c>
    </row>
    <row r="11" spans="1:15" s="10" customFormat="1" ht="45" x14ac:dyDescent="0.2">
      <c r="A11" s="9"/>
      <c r="B11" s="597" t="s">
        <v>318</v>
      </c>
      <c r="C11" s="10">
        <v>1201501</v>
      </c>
      <c r="D11" s="20" t="s">
        <v>7</v>
      </c>
      <c r="E11" s="204" t="s">
        <v>8</v>
      </c>
      <c r="F11" s="205" t="s">
        <v>321</v>
      </c>
      <c r="G11" s="21">
        <v>1</v>
      </c>
      <c r="H11" s="38"/>
      <c r="I11" s="207">
        <v>330.08</v>
      </c>
      <c r="J11" s="208">
        <f>28.071359+14.503672</f>
        <v>42.575031000000003</v>
      </c>
      <c r="K11" s="208">
        <f>Table3[[#This Row],[CIP Funds (millions)]]-Table3[[#This Row],[TransNet Funds (millions)]]</f>
        <v>287.50496899999996</v>
      </c>
      <c r="L11" s="37"/>
      <c r="M11" s="24" t="s">
        <v>6</v>
      </c>
      <c r="N11" s="24" t="s">
        <v>6</v>
      </c>
      <c r="O11" s="24" t="s">
        <v>694</v>
      </c>
    </row>
    <row r="12" spans="1:15" s="10" customFormat="1" ht="45.75" thickBot="1" x14ac:dyDescent="0.25">
      <c r="A12" s="9"/>
      <c r="B12" s="597"/>
      <c r="C12" s="10">
        <v>1201502</v>
      </c>
      <c r="D12" s="131" t="s">
        <v>9</v>
      </c>
      <c r="E12" s="507" t="s">
        <v>10</v>
      </c>
      <c r="F12" s="232" t="s">
        <v>323</v>
      </c>
      <c r="G12" s="132">
        <v>1</v>
      </c>
      <c r="H12" s="67"/>
      <c r="I12" s="319">
        <v>464.00299999999999</v>
      </c>
      <c r="J12" s="320">
        <v>31.909393000000001</v>
      </c>
      <c r="K12" s="320">
        <f>Table3[[#This Row],[CIP Funds (millions)]]-Table3[[#This Row],[TransNet Funds (millions)]]</f>
        <v>432.09360699999996</v>
      </c>
      <c r="L12" s="276"/>
      <c r="M12" s="296" t="s">
        <v>6</v>
      </c>
      <c r="N12" s="296" t="s">
        <v>6</v>
      </c>
      <c r="O12" s="296" t="s">
        <v>694</v>
      </c>
    </row>
    <row r="13" spans="1:15" s="252" customFormat="1" ht="75.75" thickBot="1" x14ac:dyDescent="0.25">
      <c r="A13" s="250"/>
      <c r="B13" s="251" t="s">
        <v>319</v>
      </c>
      <c r="C13" s="252">
        <v>1201520</v>
      </c>
      <c r="D13" s="253" t="s">
        <v>14</v>
      </c>
      <c r="E13" s="254" t="s">
        <v>342</v>
      </c>
      <c r="F13" s="254" t="s">
        <v>341</v>
      </c>
      <c r="G13" s="255">
        <v>0.1</v>
      </c>
      <c r="H13" s="256"/>
      <c r="I13" s="325">
        <v>1.1220000000000001</v>
      </c>
      <c r="J13" s="326">
        <v>1.1220000000000001</v>
      </c>
      <c r="K13" s="327">
        <f>Table3[[#This Row],[CIP Funds (millions)]]-Table3[[#This Row],[TransNet Funds (millions)]]</f>
        <v>0</v>
      </c>
      <c r="L13" s="257" t="s">
        <v>351</v>
      </c>
      <c r="M13" s="257" t="s">
        <v>6</v>
      </c>
      <c r="N13" s="257" t="s">
        <v>6</v>
      </c>
      <c r="O13" s="257" t="s">
        <v>373</v>
      </c>
    </row>
    <row r="14" spans="1:15" s="36" customFormat="1" ht="45.75" thickBot="1" x14ac:dyDescent="0.25">
      <c r="A14" s="233">
        <v>2</v>
      </c>
      <c r="B14" s="376"/>
      <c r="C14" s="234"/>
      <c r="D14" s="235" t="s">
        <v>202</v>
      </c>
      <c r="E14" s="236" t="s">
        <v>15</v>
      </c>
      <c r="F14" s="237" t="s">
        <v>203</v>
      </c>
      <c r="G14" s="238">
        <v>1</v>
      </c>
      <c r="H14" s="239">
        <v>120</v>
      </c>
      <c r="I14" s="328"/>
      <c r="J14" s="329"/>
      <c r="K14" s="329"/>
      <c r="L14" s="406"/>
      <c r="M14" s="154" t="s">
        <v>6</v>
      </c>
      <c r="N14" s="154" t="s">
        <v>6</v>
      </c>
      <c r="O14" s="573" t="s">
        <v>695</v>
      </c>
    </row>
    <row r="15" spans="1:15" s="10" customFormat="1" ht="45" x14ac:dyDescent="0.2">
      <c r="B15" s="597" t="s">
        <v>318</v>
      </c>
      <c r="C15" s="201">
        <v>1201503</v>
      </c>
      <c r="D15" s="126" t="s">
        <v>21</v>
      </c>
      <c r="E15" s="508" t="s">
        <v>344</v>
      </c>
      <c r="F15" s="508" t="s">
        <v>129</v>
      </c>
      <c r="G15" s="127">
        <v>1</v>
      </c>
      <c r="H15" s="128"/>
      <c r="I15" s="318">
        <v>177.797</v>
      </c>
      <c r="J15" s="290">
        <v>40.898000000000003</v>
      </c>
      <c r="K15" s="290">
        <f>Table3[[#This Row],[CIP Funds (millions)]]-Table3[[#This Row],[TransNet Funds (millions)]]</f>
        <v>136.899</v>
      </c>
      <c r="L15" s="276"/>
      <c r="M15" s="276" t="s">
        <v>6</v>
      </c>
      <c r="N15" s="24" t="s">
        <v>6</v>
      </c>
      <c r="O15" s="432" t="s">
        <v>695</v>
      </c>
    </row>
    <row r="16" spans="1:15" s="17" customFormat="1" ht="45.75" thickBot="1" x14ac:dyDescent="0.25">
      <c r="A16" s="16"/>
      <c r="B16" s="591"/>
      <c r="C16" s="321">
        <v>1201504</v>
      </c>
      <c r="D16" s="25" t="s">
        <v>11</v>
      </c>
      <c r="E16" s="509" t="s">
        <v>12</v>
      </c>
      <c r="F16" s="510" t="s">
        <v>13</v>
      </c>
      <c r="G16" s="26">
        <v>1</v>
      </c>
      <c r="H16" s="39"/>
      <c r="I16" s="313">
        <v>27.229319</v>
      </c>
      <c r="J16" s="314">
        <v>26.364297000000001</v>
      </c>
      <c r="K16" s="314">
        <f>Table3[[#This Row],[CIP Funds (millions)]]-J16</f>
        <v>0.86502199999999974</v>
      </c>
      <c r="L16" s="188"/>
      <c r="M16" s="188" t="s">
        <v>6</v>
      </c>
      <c r="N16" s="304" t="s">
        <v>6</v>
      </c>
      <c r="O16" s="33" t="s">
        <v>695</v>
      </c>
    </row>
    <row r="17" spans="1:15" s="36" customFormat="1" ht="105.75" thickBot="1" x14ac:dyDescent="0.25">
      <c r="A17" s="180">
        <v>3</v>
      </c>
      <c r="B17" s="377"/>
      <c r="C17" s="195"/>
      <c r="D17" s="181" t="s">
        <v>204</v>
      </c>
      <c r="E17" s="213" t="s">
        <v>63</v>
      </c>
      <c r="F17" s="214" t="s">
        <v>635</v>
      </c>
      <c r="G17" s="182">
        <f>0.4*G18</f>
        <v>0.4</v>
      </c>
      <c r="H17" s="183">
        <v>200</v>
      </c>
      <c r="I17" s="330"/>
      <c r="J17" s="331"/>
      <c r="K17" s="331"/>
      <c r="L17" s="297"/>
      <c r="M17" s="297" t="s">
        <v>377</v>
      </c>
      <c r="N17" s="297" t="s">
        <v>632</v>
      </c>
      <c r="O17" s="184"/>
    </row>
    <row r="18" spans="1:15" s="10" customFormat="1" ht="60.75" thickBot="1" x14ac:dyDescent="0.25">
      <c r="B18" s="164" t="s">
        <v>318</v>
      </c>
      <c r="C18" s="193">
        <v>1280514</v>
      </c>
      <c r="D18" s="126" t="s">
        <v>22</v>
      </c>
      <c r="E18" s="508" t="s">
        <v>345</v>
      </c>
      <c r="F18" s="508" t="s">
        <v>636</v>
      </c>
      <c r="G18" s="127">
        <v>1</v>
      </c>
      <c r="H18" s="260"/>
      <c r="I18" s="332">
        <v>17.925999999999998</v>
      </c>
      <c r="J18" s="333">
        <v>17.925999999999998</v>
      </c>
      <c r="K18" s="333">
        <f>Table3[[#This Row],[CIP Funds (millions)]]-J18</f>
        <v>0</v>
      </c>
      <c r="L18" s="276" t="s">
        <v>352</v>
      </c>
      <c r="M18" s="276" t="s">
        <v>6</v>
      </c>
      <c r="N18" s="276" t="s">
        <v>6</v>
      </c>
      <c r="O18" s="270" t="s">
        <v>667</v>
      </c>
    </row>
    <row r="19" spans="1:15" s="261" customFormat="1" ht="45" x14ac:dyDescent="0.2">
      <c r="B19" s="595" t="s">
        <v>319</v>
      </c>
      <c r="C19" s="261">
        <v>1601501</v>
      </c>
      <c r="D19" s="271" t="s">
        <v>23</v>
      </c>
      <c r="E19" s="511" t="s">
        <v>128</v>
      </c>
      <c r="F19" s="511" t="s">
        <v>631</v>
      </c>
      <c r="G19" s="272">
        <v>0</v>
      </c>
      <c r="H19" s="273"/>
      <c r="I19" s="334">
        <v>1.5</v>
      </c>
      <c r="J19" s="335">
        <v>0</v>
      </c>
      <c r="K19" s="335">
        <f>Table3[[#This Row],[CIP Funds (millions)]]-J19</f>
        <v>1.5</v>
      </c>
      <c r="L19" s="305" t="s">
        <v>349</v>
      </c>
      <c r="M19" s="305" t="s">
        <v>6</v>
      </c>
      <c r="N19" s="305" t="s">
        <v>6</v>
      </c>
      <c r="O19" s="274" t="s">
        <v>373</v>
      </c>
    </row>
    <row r="20" spans="1:15" s="10" customFormat="1" ht="105" x14ac:dyDescent="0.2">
      <c r="B20" s="593"/>
      <c r="C20" s="201" t="s">
        <v>310</v>
      </c>
      <c r="D20" s="23" t="s">
        <v>353</v>
      </c>
      <c r="E20" s="229" t="s">
        <v>348</v>
      </c>
      <c r="F20" s="227" t="s">
        <v>346</v>
      </c>
      <c r="G20" s="21">
        <v>0</v>
      </c>
      <c r="H20" s="22"/>
      <c r="I20" s="336" t="s">
        <v>310</v>
      </c>
      <c r="J20" s="337">
        <v>0</v>
      </c>
      <c r="K20" s="337">
        <v>0</v>
      </c>
      <c r="L20" s="24" t="s">
        <v>307</v>
      </c>
      <c r="M20" s="24" t="s">
        <v>377</v>
      </c>
      <c r="N20" s="24" t="s">
        <v>632</v>
      </c>
      <c r="O20" s="23"/>
    </row>
    <row r="21" spans="1:15" s="10" customFormat="1" ht="30.75" thickBot="1" x14ac:dyDescent="0.25">
      <c r="B21" s="594"/>
      <c r="C21" s="201" t="s">
        <v>310</v>
      </c>
      <c r="D21" s="64" t="s">
        <v>354</v>
      </c>
      <c r="E21" s="259" t="s">
        <v>345</v>
      </c>
      <c r="F21" s="157" t="s">
        <v>347</v>
      </c>
      <c r="G21" s="132">
        <v>0</v>
      </c>
      <c r="H21" s="265"/>
      <c r="I21" s="338" t="s">
        <v>310</v>
      </c>
      <c r="J21" s="339">
        <v>0</v>
      </c>
      <c r="K21" s="339">
        <v>0</v>
      </c>
      <c r="L21" s="296" t="s">
        <v>307</v>
      </c>
      <c r="M21" s="24" t="s">
        <v>6</v>
      </c>
      <c r="N21" s="24" t="s">
        <v>6</v>
      </c>
      <c r="O21" s="64" t="s">
        <v>373</v>
      </c>
    </row>
    <row r="22" spans="1:15" s="153" customFormat="1" ht="30.75" thickBot="1" x14ac:dyDescent="0.25">
      <c r="A22" s="266">
        <v>4</v>
      </c>
      <c r="B22" s="378"/>
      <c r="C22" s="196"/>
      <c r="D22" s="148" t="s">
        <v>205</v>
      </c>
      <c r="E22" s="215" t="s">
        <v>16</v>
      </c>
      <c r="F22" s="216" t="s">
        <v>637</v>
      </c>
      <c r="G22" s="149">
        <f>G23</f>
        <v>0.125</v>
      </c>
      <c r="H22" s="150">
        <v>200</v>
      </c>
      <c r="I22" s="340"/>
      <c r="J22" s="341"/>
      <c r="K22" s="341"/>
      <c r="L22" s="154"/>
      <c r="M22" s="154" t="s">
        <v>199</v>
      </c>
      <c r="N22" s="154" t="s">
        <v>677</v>
      </c>
      <c r="O22" s="152"/>
    </row>
    <row r="23" spans="1:15" s="168" customFormat="1" ht="75" x14ac:dyDescent="0.2">
      <c r="B23" s="602" t="s">
        <v>319</v>
      </c>
      <c r="C23" s="168">
        <v>1207802</v>
      </c>
      <c r="D23" s="169" t="s">
        <v>24</v>
      </c>
      <c r="E23" s="512" t="s">
        <v>343</v>
      </c>
      <c r="F23" s="512" t="s">
        <v>131</v>
      </c>
      <c r="G23" s="170">
        <f>0.05+(0.75*0.1)</f>
        <v>0.125</v>
      </c>
      <c r="H23" s="171"/>
      <c r="I23" s="342">
        <v>39.936999999999998</v>
      </c>
      <c r="J23" s="343">
        <v>4.2069999999999999</v>
      </c>
      <c r="K23" s="343">
        <f>Table3[[#This Row],[CIP Funds (millions)]]-J23</f>
        <v>35.729999999999997</v>
      </c>
      <c r="L23" s="306" t="s">
        <v>633</v>
      </c>
      <c r="M23" s="306" t="s">
        <v>199</v>
      </c>
      <c r="N23" s="306" t="s">
        <v>677</v>
      </c>
      <c r="O23" s="268"/>
    </row>
    <row r="24" spans="1:15" s="10" customFormat="1" ht="75.75" thickBot="1" x14ac:dyDescent="0.25">
      <c r="B24" s="593"/>
      <c r="C24" s="201" t="s">
        <v>310</v>
      </c>
      <c r="D24" s="129" t="s">
        <v>350</v>
      </c>
      <c r="E24" s="157" t="s">
        <v>130</v>
      </c>
      <c r="F24" s="157" t="s">
        <v>332</v>
      </c>
      <c r="G24" s="127">
        <v>0</v>
      </c>
      <c r="H24" s="128"/>
      <c r="I24" s="318" t="s">
        <v>310</v>
      </c>
      <c r="J24" s="290">
        <v>0</v>
      </c>
      <c r="K24" s="290">
        <v>0</v>
      </c>
      <c r="L24" s="276" t="s">
        <v>634</v>
      </c>
      <c r="M24" s="276" t="s">
        <v>199</v>
      </c>
      <c r="N24" s="276" t="s">
        <v>677</v>
      </c>
      <c r="O24" s="129"/>
    </row>
    <row r="25" spans="1:15" s="153" customFormat="1" ht="30.75" thickBot="1" x14ac:dyDescent="0.25">
      <c r="A25" s="266">
        <v>5</v>
      </c>
      <c r="B25" s="378"/>
      <c r="C25" s="196"/>
      <c r="D25" s="148" t="s">
        <v>206</v>
      </c>
      <c r="E25" s="215" t="s">
        <v>17</v>
      </c>
      <c r="F25" s="216" t="s">
        <v>638</v>
      </c>
      <c r="G25" s="149">
        <f>0.05+(0.1*G26)</f>
        <v>0.15000000000000002</v>
      </c>
      <c r="H25" s="150">
        <v>150</v>
      </c>
      <c r="I25" s="340"/>
      <c r="J25" s="341"/>
      <c r="K25" s="341"/>
      <c r="L25" s="154"/>
      <c r="M25" s="154" t="s">
        <v>665</v>
      </c>
      <c r="N25" s="154" t="s">
        <v>678</v>
      </c>
      <c r="O25" s="152"/>
    </row>
    <row r="26" spans="1:15" s="10" customFormat="1" ht="105.75" thickBot="1" x14ac:dyDescent="0.25">
      <c r="B26" s="164" t="s">
        <v>318</v>
      </c>
      <c r="C26" s="101">
        <v>1280508</v>
      </c>
      <c r="D26" s="130" t="s">
        <v>25</v>
      </c>
      <c r="E26" s="157" t="s">
        <v>324</v>
      </c>
      <c r="F26" s="513" t="s">
        <v>363</v>
      </c>
      <c r="G26" s="277">
        <v>1</v>
      </c>
      <c r="H26" s="278"/>
      <c r="I26" s="318">
        <v>22.1</v>
      </c>
      <c r="J26" s="290">
        <v>12.1</v>
      </c>
      <c r="K26" s="290">
        <f>Table3[[#This Row],[CIP Funds (millions)]]-J26</f>
        <v>10.000000000000002</v>
      </c>
      <c r="L26" s="276" t="s">
        <v>781</v>
      </c>
      <c r="M26" s="276" t="s">
        <v>679</v>
      </c>
      <c r="N26" s="276" t="s">
        <v>680</v>
      </c>
      <c r="O26" s="270"/>
    </row>
    <row r="27" spans="1:15" s="279" customFormat="1" ht="60.75" thickBot="1" x14ac:dyDescent="0.25">
      <c r="B27" s="280" t="s">
        <v>319</v>
      </c>
      <c r="C27" s="281" t="s">
        <v>310</v>
      </c>
      <c r="D27" s="282" t="s">
        <v>355</v>
      </c>
      <c r="E27" s="514" t="s">
        <v>356</v>
      </c>
      <c r="F27" s="515" t="s">
        <v>359</v>
      </c>
      <c r="G27" s="283">
        <v>0</v>
      </c>
      <c r="H27" s="284"/>
      <c r="I27" s="344" t="s">
        <v>310</v>
      </c>
      <c r="J27" s="345">
        <v>0</v>
      </c>
      <c r="K27" s="345">
        <v>0</v>
      </c>
      <c r="L27" s="282" t="s">
        <v>307</v>
      </c>
      <c r="M27" s="257" t="s">
        <v>679</v>
      </c>
      <c r="N27" s="257" t="s">
        <v>680</v>
      </c>
      <c r="O27" s="285"/>
    </row>
    <row r="28" spans="1:15" s="153" customFormat="1" ht="60.75" thickBot="1" x14ac:dyDescent="0.25">
      <c r="A28" s="147">
        <v>6</v>
      </c>
      <c r="B28" s="378"/>
      <c r="C28" s="196"/>
      <c r="D28" s="151" t="s">
        <v>207</v>
      </c>
      <c r="E28" s="215" t="s">
        <v>18</v>
      </c>
      <c r="F28" s="216" t="s">
        <v>208</v>
      </c>
      <c r="G28" s="149">
        <f>0.05+(0.1*G29)</f>
        <v>0.15000000000000002</v>
      </c>
      <c r="H28" s="150">
        <v>80</v>
      </c>
      <c r="I28" s="340"/>
      <c r="J28" s="341"/>
      <c r="K28" s="341"/>
      <c r="L28" s="154"/>
      <c r="M28" s="154" t="s">
        <v>679</v>
      </c>
      <c r="N28" s="154" t="s">
        <v>680</v>
      </c>
      <c r="O28" s="152"/>
    </row>
    <row r="29" spans="1:15" s="10" customFormat="1" ht="105.75" thickBot="1" x14ac:dyDescent="0.25">
      <c r="B29" s="164" t="s">
        <v>318</v>
      </c>
      <c r="C29" s="101">
        <v>1280508</v>
      </c>
      <c r="D29" s="130" t="s">
        <v>25</v>
      </c>
      <c r="E29" s="157" t="s">
        <v>324</v>
      </c>
      <c r="F29" s="513" t="s">
        <v>363</v>
      </c>
      <c r="G29" s="277">
        <v>1</v>
      </c>
      <c r="H29" s="278"/>
      <c r="I29" s="318">
        <v>22.1</v>
      </c>
      <c r="J29" s="290">
        <v>12.1</v>
      </c>
      <c r="K29" s="290">
        <f>I29-J29</f>
        <v>10.000000000000002</v>
      </c>
      <c r="L29" s="276" t="s">
        <v>782</v>
      </c>
      <c r="M29" s="276" t="s">
        <v>679</v>
      </c>
      <c r="N29" s="276" t="s">
        <v>680</v>
      </c>
      <c r="O29" s="270"/>
    </row>
    <row r="30" spans="1:15" s="252" customFormat="1" ht="41.25" thickBot="1" x14ac:dyDescent="0.25">
      <c r="B30" s="280" t="s">
        <v>319</v>
      </c>
      <c r="C30" s="286" t="s">
        <v>310</v>
      </c>
      <c r="D30" s="263" t="s">
        <v>357</v>
      </c>
      <c r="E30" s="516" t="s">
        <v>358</v>
      </c>
      <c r="F30" s="515" t="s">
        <v>360</v>
      </c>
      <c r="G30" s="264">
        <v>0</v>
      </c>
      <c r="H30" s="287"/>
      <c r="I30" s="346" t="s">
        <v>310</v>
      </c>
      <c r="J30" s="347">
        <v>0</v>
      </c>
      <c r="K30" s="347">
        <v>0</v>
      </c>
      <c r="L30" s="288" t="s">
        <v>307</v>
      </c>
      <c r="M30" s="288" t="s">
        <v>665</v>
      </c>
      <c r="N30" s="288" t="s">
        <v>666</v>
      </c>
      <c r="O30" s="263"/>
    </row>
    <row r="31" spans="1:15" s="153" customFormat="1" ht="75.75" thickBot="1" x14ac:dyDescent="0.25">
      <c r="A31" s="147">
        <v>7</v>
      </c>
      <c r="B31" s="378"/>
      <c r="C31" s="196"/>
      <c r="D31" s="148" t="s">
        <v>209</v>
      </c>
      <c r="E31" s="215" t="s">
        <v>212</v>
      </c>
      <c r="F31" s="216" t="s">
        <v>211</v>
      </c>
      <c r="G31" s="298">
        <f>((6/9)*1)+((1/9)*G39)+((1/9)*G40)</f>
        <v>0.73888888888888893</v>
      </c>
      <c r="H31" s="150">
        <f>370+150</f>
        <v>520</v>
      </c>
      <c r="I31" s="340"/>
      <c r="J31" s="341"/>
      <c r="K31" s="341"/>
      <c r="L31" s="154"/>
      <c r="M31" s="154" t="s">
        <v>397</v>
      </c>
      <c r="N31" s="154" t="s">
        <v>668</v>
      </c>
      <c r="O31" s="152"/>
    </row>
    <row r="32" spans="1:15" s="10" customFormat="1" ht="45" x14ac:dyDescent="0.2">
      <c r="A32" s="604"/>
      <c r="B32" s="597" t="s">
        <v>318</v>
      </c>
      <c r="C32" s="101">
        <v>1201505</v>
      </c>
      <c r="D32" s="294" t="s">
        <v>29</v>
      </c>
      <c r="E32" s="203" t="s">
        <v>326</v>
      </c>
      <c r="F32" s="203" t="s">
        <v>325</v>
      </c>
      <c r="G32" s="189">
        <v>1</v>
      </c>
      <c r="H32" s="190"/>
      <c r="I32" s="348">
        <v>49.543999999999997</v>
      </c>
      <c r="J32" s="349">
        <f>1.906+14.748</f>
        <v>16.654</v>
      </c>
      <c r="K32" s="349">
        <f>Table3[[#This Row],[CIP Funds (millions)]]-Table3[[#This Row],[TransNet Funds (millions)]]</f>
        <v>32.89</v>
      </c>
      <c r="L32" s="24"/>
      <c r="M32" s="24" t="s">
        <v>6</v>
      </c>
      <c r="N32" s="24" t="s">
        <v>6</v>
      </c>
      <c r="O32" s="116" t="s">
        <v>667</v>
      </c>
    </row>
    <row r="33" spans="1:15" s="10" customFormat="1" ht="45" x14ac:dyDescent="0.2">
      <c r="A33" s="604"/>
      <c r="B33" s="597"/>
      <c r="C33" s="107">
        <v>1201506</v>
      </c>
      <c r="D33" s="295" t="s">
        <v>30</v>
      </c>
      <c r="E33" s="203" t="s">
        <v>368</v>
      </c>
      <c r="F33" s="139" t="s">
        <v>367</v>
      </c>
      <c r="G33" s="105">
        <v>1</v>
      </c>
      <c r="H33" s="106"/>
      <c r="I33" s="209">
        <v>54.68</v>
      </c>
      <c r="J33" s="210">
        <v>27.186</v>
      </c>
      <c r="K33" s="349">
        <f>Table3[[#This Row],[CIP Funds (millions)]]-Table3[[#This Row],[TransNet Funds (millions)]]</f>
        <v>27.494</v>
      </c>
      <c r="L33" s="37"/>
      <c r="M33" s="37" t="s">
        <v>6</v>
      </c>
      <c r="N33" s="37" t="s">
        <v>6</v>
      </c>
      <c r="O33" s="115" t="s">
        <v>667</v>
      </c>
    </row>
    <row r="34" spans="1:15" s="10" customFormat="1" ht="60" x14ac:dyDescent="0.2">
      <c r="A34" s="604"/>
      <c r="B34" s="597"/>
      <c r="C34" s="101">
        <v>1201508</v>
      </c>
      <c r="D34" s="87" t="s">
        <v>31</v>
      </c>
      <c r="E34" s="139" t="s">
        <v>369</v>
      </c>
      <c r="F34" s="139" t="s">
        <v>327</v>
      </c>
      <c r="G34" s="105">
        <v>1</v>
      </c>
      <c r="H34" s="106"/>
      <c r="I34" s="209">
        <v>33.881</v>
      </c>
      <c r="J34" s="210">
        <f>0.996+22.679</f>
        <v>23.674999999999997</v>
      </c>
      <c r="K34" s="349">
        <f>Table3[[#This Row],[CIP Funds (millions)]]-Table3[[#This Row],[TransNet Funds (millions)]]</f>
        <v>10.206000000000003</v>
      </c>
      <c r="L34" s="37"/>
      <c r="M34" s="37" t="s">
        <v>6</v>
      </c>
      <c r="N34" s="37" t="s">
        <v>6</v>
      </c>
      <c r="O34" s="115" t="s">
        <v>667</v>
      </c>
    </row>
    <row r="35" spans="1:15" s="10" customFormat="1" ht="30" x14ac:dyDescent="0.2">
      <c r="A35" s="604"/>
      <c r="B35" s="597"/>
      <c r="C35" s="10">
        <v>1201509</v>
      </c>
      <c r="D35" s="11" t="s">
        <v>32</v>
      </c>
      <c r="E35" s="204" t="s">
        <v>364</v>
      </c>
      <c r="F35" s="205" t="s">
        <v>146</v>
      </c>
      <c r="G35" s="293">
        <v>1</v>
      </c>
      <c r="H35" s="88"/>
      <c r="I35" s="207">
        <v>20.844000000000001</v>
      </c>
      <c r="J35" s="208">
        <v>20.84</v>
      </c>
      <c r="K35" s="349">
        <f>Table3[[#This Row],[CIP Funds (millions)]]-Table3[[#This Row],[TransNet Funds (millions)]]</f>
        <v>4.0000000000013358E-3</v>
      </c>
      <c r="L35" s="37"/>
      <c r="M35" s="37" t="s">
        <v>6</v>
      </c>
      <c r="N35" s="37" t="s">
        <v>6</v>
      </c>
      <c r="O35" s="115" t="s">
        <v>667</v>
      </c>
    </row>
    <row r="36" spans="1:15" s="10" customFormat="1" ht="75" x14ac:dyDescent="0.2">
      <c r="A36" s="604"/>
      <c r="B36" s="597"/>
      <c r="C36" s="101">
        <v>1201512</v>
      </c>
      <c r="D36" s="11" t="s">
        <v>33</v>
      </c>
      <c r="E36" s="139" t="s">
        <v>329</v>
      </c>
      <c r="F36" s="139" t="s">
        <v>328</v>
      </c>
      <c r="G36" s="109">
        <v>1</v>
      </c>
      <c r="H36" s="110"/>
      <c r="I36" s="209">
        <v>14.423999999999999</v>
      </c>
      <c r="J36" s="210">
        <v>14.423999999999999</v>
      </c>
      <c r="K36" s="349">
        <f>Table3[[#This Row],[CIP Funds (millions)]]-Table3[[#This Row],[TransNet Funds (millions)]]</f>
        <v>0</v>
      </c>
      <c r="L36" s="37"/>
      <c r="M36" s="37" t="s">
        <v>6</v>
      </c>
      <c r="N36" s="37" t="s">
        <v>6</v>
      </c>
      <c r="O36" s="115" t="s">
        <v>667</v>
      </c>
    </row>
    <row r="37" spans="1:15" s="10" customFormat="1" hidden="1" x14ac:dyDescent="0.2">
      <c r="A37" s="604"/>
      <c r="B37" s="597"/>
      <c r="C37" s="101">
        <v>1201516</v>
      </c>
      <c r="D37" s="11" t="s">
        <v>36</v>
      </c>
      <c r="E37" s="139"/>
      <c r="F37" s="139"/>
      <c r="G37" s="109">
        <v>1</v>
      </c>
      <c r="H37" s="110"/>
      <c r="I37" s="209"/>
      <c r="J37" s="210"/>
      <c r="K37" s="349">
        <f>Table3[[#This Row],[CIP Funds (millions)]]-Table3[[#This Row],[TransNet Funds (millions)]]</f>
        <v>0</v>
      </c>
      <c r="L37" s="37"/>
      <c r="M37" s="37"/>
      <c r="N37" s="37"/>
      <c r="O37" s="115"/>
    </row>
    <row r="38" spans="1:15" s="10" customFormat="1" ht="150.75" thickBot="1" x14ac:dyDescent="0.25">
      <c r="A38" s="604"/>
      <c r="B38" s="597"/>
      <c r="C38" s="101">
        <v>1201517</v>
      </c>
      <c r="D38" s="64" t="s">
        <v>305</v>
      </c>
      <c r="E38" s="517" t="s">
        <v>306</v>
      </c>
      <c r="F38" s="517" t="s">
        <v>370</v>
      </c>
      <c r="G38" s="240">
        <v>1</v>
      </c>
      <c r="H38" s="63"/>
      <c r="I38" s="319">
        <v>0.151063</v>
      </c>
      <c r="J38" s="320">
        <v>0.151063</v>
      </c>
      <c r="K38" s="320">
        <f>Table3[[#This Row],[CIP Funds (millions)]]-Table3[[#This Row],[TransNet Funds (millions)]]</f>
        <v>0</v>
      </c>
      <c r="L38" s="296" t="s">
        <v>371</v>
      </c>
      <c r="M38" s="296" t="s">
        <v>6</v>
      </c>
      <c r="N38" s="296" t="s">
        <v>6</v>
      </c>
      <c r="O38" s="296" t="s">
        <v>697</v>
      </c>
    </row>
    <row r="39" spans="1:15" s="241" customFormat="1" ht="60" x14ac:dyDescent="0.2">
      <c r="A39" s="603"/>
      <c r="B39" s="602" t="s">
        <v>319</v>
      </c>
      <c r="C39" s="241">
        <v>1201514</v>
      </c>
      <c r="D39" s="242" t="s">
        <v>34</v>
      </c>
      <c r="E39" s="518" t="s">
        <v>147</v>
      </c>
      <c r="F39" s="518" t="s">
        <v>148</v>
      </c>
      <c r="G39" s="243">
        <v>0.15</v>
      </c>
      <c r="H39" s="244"/>
      <c r="I39" s="245">
        <v>57.98</v>
      </c>
      <c r="J39" s="246">
        <v>36.29</v>
      </c>
      <c r="K39" s="289">
        <f>Table3[[#This Row],[CIP Funds (millions)]]-Table3[[#This Row],[TransNet Funds (millions)]]</f>
        <v>21.689999999999998</v>
      </c>
      <c r="L39" s="247" t="s">
        <v>628</v>
      </c>
      <c r="M39" s="247" t="s">
        <v>6</v>
      </c>
      <c r="N39" s="247" t="s">
        <v>6</v>
      </c>
      <c r="O39" s="248" t="s">
        <v>373</v>
      </c>
    </row>
    <row r="40" spans="1:15" s="10" customFormat="1" ht="75" x14ac:dyDescent="0.2">
      <c r="A40" s="604"/>
      <c r="B40" s="593"/>
      <c r="C40" s="10">
        <v>1201515</v>
      </c>
      <c r="D40" s="11" t="s">
        <v>35</v>
      </c>
      <c r="E40" s="139" t="s">
        <v>331</v>
      </c>
      <c r="F40" s="139" t="s">
        <v>330</v>
      </c>
      <c r="G40" s="186">
        <f>((1/6)*1)+((5/6)*0.4)</f>
        <v>0.5</v>
      </c>
      <c r="H40" s="89"/>
      <c r="I40" s="209">
        <v>1.665</v>
      </c>
      <c r="J40" s="210">
        <v>1.665</v>
      </c>
      <c r="K40" s="292">
        <f>Table3[[#This Row],[CIP Funds (millions)]]-Table3[[#This Row],[TransNet Funds (millions)]]</f>
        <v>0</v>
      </c>
      <c r="L40" s="37" t="s">
        <v>365</v>
      </c>
      <c r="M40" s="37" t="s">
        <v>396</v>
      </c>
      <c r="N40" s="37" t="s">
        <v>684</v>
      </c>
      <c r="O40" s="115"/>
    </row>
    <row r="41" spans="1:15" s="17" customFormat="1" ht="45.75" thickBot="1" x14ac:dyDescent="0.25">
      <c r="A41" s="605"/>
      <c r="B41" s="594"/>
      <c r="C41" s="17">
        <v>1201519</v>
      </c>
      <c r="D41" s="19" t="s">
        <v>38</v>
      </c>
      <c r="E41" s="519" t="s">
        <v>152</v>
      </c>
      <c r="F41" s="520" t="s">
        <v>366</v>
      </c>
      <c r="G41" s="187">
        <v>0</v>
      </c>
      <c r="H41" s="80"/>
      <c r="I41" s="211">
        <v>28</v>
      </c>
      <c r="J41" s="212">
        <v>0</v>
      </c>
      <c r="K41" s="212">
        <f>Table3[[#This Row],[CIP Funds (millions)]]-Table3[[#This Row],[TransNet Funds (millions)]]</f>
        <v>28</v>
      </c>
      <c r="L41" s="33"/>
      <c r="M41" s="33" t="s">
        <v>20</v>
      </c>
      <c r="N41" s="33" t="s">
        <v>685</v>
      </c>
      <c r="O41" s="108"/>
    </row>
    <row r="42" spans="1:15" s="8" customFormat="1" ht="60" x14ac:dyDescent="0.2">
      <c r="A42" s="28">
        <v>8</v>
      </c>
      <c r="B42" s="379"/>
      <c r="C42" s="197"/>
      <c r="D42" s="30" t="s">
        <v>213</v>
      </c>
      <c r="E42" s="217" t="s">
        <v>210</v>
      </c>
      <c r="F42" s="218" t="s">
        <v>214</v>
      </c>
      <c r="G42" s="31">
        <v>1</v>
      </c>
      <c r="H42" s="32">
        <f>60+90</f>
        <v>150</v>
      </c>
      <c r="I42" s="315"/>
      <c r="J42" s="316"/>
      <c r="K42" s="316"/>
      <c r="L42" s="34"/>
      <c r="M42" s="34" t="s">
        <v>6</v>
      </c>
      <c r="N42" s="34" t="s">
        <v>6</v>
      </c>
      <c r="O42" s="546" t="s">
        <v>697</v>
      </c>
    </row>
    <row r="43" spans="1:15" s="10" customFormat="1" ht="60" x14ac:dyDescent="0.2">
      <c r="B43" s="597" t="s">
        <v>318</v>
      </c>
      <c r="C43" s="101">
        <v>1201511</v>
      </c>
      <c r="D43" s="111" t="s">
        <v>39</v>
      </c>
      <c r="E43" s="502" t="s">
        <v>403</v>
      </c>
      <c r="F43" s="521" t="s">
        <v>402</v>
      </c>
      <c r="G43" s="310">
        <v>1</v>
      </c>
      <c r="H43" s="140"/>
      <c r="I43" s="319">
        <v>3.4020000000000001</v>
      </c>
      <c r="J43" s="320">
        <v>3.4020000000000001</v>
      </c>
      <c r="K43" s="320">
        <f>Table3[[#This Row],[CIP Funds (millions)]]-Table3[[#This Row],[TransNet Funds (millions)]]</f>
        <v>0</v>
      </c>
      <c r="L43" s="296"/>
      <c r="M43" s="296" t="s">
        <v>6</v>
      </c>
      <c r="N43" s="296" t="s">
        <v>6</v>
      </c>
      <c r="O43" s="446" t="s">
        <v>697</v>
      </c>
    </row>
    <row r="44" spans="1:15" s="10" customFormat="1" ht="45.75" thickBot="1" x14ac:dyDescent="0.25">
      <c r="B44" s="591"/>
      <c r="C44" s="101">
        <v>1201518</v>
      </c>
      <c r="D44" s="11" t="s">
        <v>37</v>
      </c>
      <c r="E44" s="139" t="s">
        <v>405</v>
      </c>
      <c r="F44" s="139" t="s">
        <v>404</v>
      </c>
      <c r="G44" s="109">
        <v>1</v>
      </c>
      <c r="H44" s="110"/>
      <c r="I44" s="209">
        <v>9.5069999999999997</v>
      </c>
      <c r="J44" s="210">
        <v>9.5069999999999997</v>
      </c>
      <c r="K44" s="210">
        <f>Table3[[#This Row],[CIP Funds (millions)]]-Table3[[#This Row],[TransNet Funds (millions)]]</f>
        <v>0</v>
      </c>
      <c r="L44" s="37"/>
      <c r="M44" s="37" t="s">
        <v>6</v>
      </c>
      <c r="N44" s="37" t="s">
        <v>6</v>
      </c>
      <c r="O44" s="446" t="s">
        <v>697</v>
      </c>
    </row>
    <row r="45" spans="1:15" s="146" customFormat="1" ht="30" x14ac:dyDescent="0.2">
      <c r="A45" s="141">
        <v>9</v>
      </c>
      <c r="B45" s="380"/>
      <c r="C45" s="198"/>
      <c r="D45" s="142" t="s">
        <v>215</v>
      </c>
      <c r="E45" s="219" t="s">
        <v>40</v>
      </c>
      <c r="F45" s="220" t="s">
        <v>639</v>
      </c>
      <c r="G45" s="143">
        <f>0.05+0.1</f>
        <v>0.15000000000000002</v>
      </c>
      <c r="H45" s="144">
        <v>150</v>
      </c>
      <c r="I45" s="350"/>
      <c r="J45" s="351"/>
      <c r="K45" s="351"/>
      <c r="L45" s="307"/>
      <c r="M45" s="307"/>
      <c r="N45" s="307"/>
      <c r="O45" s="145"/>
    </row>
    <row r="46" spans="1:15" s="10" customFormat="1" ht="90.75" thickBot="1" x14ac:dyDescent="0.25">
      <c r="B46" s="164" t="s">
        <v>318</v>
      </c>
      <c r="C46" s="193">
        <v>1280501</v>
      </c>
      <c r="D46" s="131" t="s">
        <v>41</v>
      </c>
      <c r="E46" s="517" t="s">
        <v>407</v>
      </c>
      <c r="F46" s="232" t="s">
        <v>408</v>
      </c>
      <c r="G46" s="249">
        <v>1</v>
      </c>
      <c r="H46" s="140"/>
      <c r="I46" s="319">
        <v>27.657</v>
      </c>
      <c r="J46" s="320">
        <f>19.322+0.042</f>
        <v>19.364000000000001</v>
      </c>
      <c r="K46" s="320">
        <f>Table3[[#This Row],[CIP Funds (millions)]]-Table3[[#This Row],[TransNet Funds (millions)]]</f>
        <v>8.2929999999999993</v>
      </c>
      <c r="L46" s="296" t="s">
        <v>670</v>
      </c>
      <c r="M46" s="296" t="s">
        <v>6</v>
      </c>
      <c r="N46" s="296" t="s">
        <v>6</v>
      </c>
      <c r="O46" s="111" t="s">
        <v>671</v>
      </c>
    </row>
    <row r="47" spans="1:15" s="261" customFormat="1" ht="60" x14ac:dyDescent="0.2">
      <c r="B47" s="602" t="s">
        <v>319</v>
      </c>
      <c r="C47" s="261">
        <v>1280515</v>
      </c>
      <c r="D47" s="271" t="s">
        <v>42</v>
      </c>
      <c r="E47" s="586" t="s">
        <v>149</v>
      </c>
      <c r="F47" s="511" t="s">
        <v>150</v>
      </c>
      <c r="G47" s="587">
        <f>0.05+0.1+0.25+(0.6*(1/2))+(0.6*(1/2)*0.1)</f>
        <v>0.73</v>
      </c>
      <c r="H47" s="588"/>
      <c r="I47" s="443">
        <v>114.092</v>
      </c>
      <c r="J47" s="444">
        <v>14.388</v>
      </c>
      <c r="K47" s="444">
        <f>Table3[[#This Row],[CIP Funds (millions)]]-J47</f>
        <v>99.703999999999994</v>
      </c>
      <c r="L47" s="305" t="s">
        <v>411</v>
      </c>
      <c r="M47" s="288" t="s">
        <v>6</v>
      </c>
      <c r="N47" s="288" t="s">
        <v>6</v>
      </c>
      <c r="O47" s="275" t="s">
        <v>373</v>
      </c>
    </row>
    <row r="48" spans="1:15" s="10" customFormat="1" ht="90.75" thickBot="1" x14ac:dyDescent="0.25">
      <c r="B48" s="594"/>
      <c r="C48" s="201" t="s">
        <v>310</v>
      </c>
      <c r="D48" s="129" t="s">
        <v>409</v>
      </c>
      <c r="E48" s="259" t="s">
        <v>410</v>
      </c>
      <c r="F48" s="157" t="s">
        <v>360</v>
      </c>
      <c r="G48" s="127">
        <v>0</v>
      </c>
      <c r="H48" s="128"/>
      <c r="I48" s="318">
        <v>0</v>
      </c>
      <c r="J48" s="290">
        <v>0</v>
      </c>
      <c r="K48" s="290">
        <v>0</v>
      </c>
      <c r="L48" s="276" t="s">
        <v>669</v>
      </c>
      <c r="M48" s="276" t="s">
        <v>688</v>
      </c>
      <c r="N48" s="276" t="s">
        <v>696</v>
      </c>
      <c r="O48" s="129"/>
    </row>
    <row r="49" spans="1:15" s="153" customFormat="1" ht="90.75" thickBot="1" x14ac:dyDescent="0.25">
      <c r="A49" s="266">
        <f>A45+1</f>
        <v>10</v>
      </c>
      <c r="B49" s="378"/>
      <c r="C49" s="196"/>
      <c r="D49" s="151" t="s">
        <v>216</v>
      </c>
      <c r="E49" s="215" t="s">
        <v>43</v>
      </c>
      <c r="F49" s="216" t="s">
        <v>217</v>
      </c>
      <c r="G49" s="149">
        <v>0.5</v>
      </c>
      <c r="H49" s="150">
        <v>450</v>
      </c>
      <c r="I49" s="340"/>
      <c r="J49" s="341"/>
      <c r="K49" s="341"/>
      <c r="L49" s="154"/>
      <c r="M49" s="154" t="s">
        <v>689</v>
      </c>
      <c r="N49" s="154" t="s">
        <v>698</v>
      </c>
      <c r="O49" s="152"/>
    </row>
    <row r="50" spans="1:15" s="418" customFormat="1" ht="75.75" thickBot="1" x14ac:dyDescent="0.25">
      <c r="B50" s="419" t="s">
        <v>318</v>
      </c>
      <c r="C50" s="418">
        <v>1280510</v>
      </c>
      <c r="D50" s="540" t="s">
        <v>406</v>
      </c>
      <c r="E50" s="541" t="s">
        <v>151</v>
      </c>
      <c r="F50" s="542" t="s">
        <v>640</v>
      </c>
      <c r="G50" s="543">
        <v>1</v>
      </c>
      <c r="H50" s="544"/>
      <c r="I50" s="545">
        <v>182.54599999999999</v>
      </c>
      <c r="J50" s="424">
        <f>113.618+9.211</f>
        <v>122.82899999999999</v>
      </c>
      <c r="K50" s="424">
        <f>Table3[[#This Row],[CIP Funds (millions)]]-J50</f>
        <v>59.716999999999999</v>
      </c>
      <c r="L50" s="425"/>
      <c r="M50" s="425" t="s">
        <v>6</v>
      </c>
      <c r="N50" s="425" t="s">
        <v>6</v>
      </c>
      <c r="O50" s="426" t="s">
        <v>778</v>
      </c>
    </row>
    <row r="51" spans="1:15" s="10" customFormat="1" ht="75" x14ac:dyDescent="0.2">
      <c r="B51" s="593" t="s">
        <v>319</v>
      </c>
      <c r="C51" s="10">
        <v>1280521</v>
      </c>
      <c r="D51" s="539" t="s">
        <v>44</v>
      </c>
      <c r="E51" s="508" t="s">
        <v>153</v>
      </c>
      <c r="F51" s="508" t="s">
        <v>154</v>
      </c>
      <c r="G51" s="317">
        <v>0</v>
      </c>
      <c r="H51" s="112"/>
      <c r="I51" s="318">
        <v>11</v>
      </c>
      <c r="J51" s="290">
        <v>1</v>
      </c>
      <c r="K51" s="290">
        <f>I51-J51</f>
        <v>10</v>
      </c>
      <c r="L51" s="276" t="s">
        <v>414</v>
      </c>
      <c r="M51" s="276" t="s">
        <v>692</v>
      </c>
      <c r="N51" s="276" t="s">
        <v>727</v>
      </c>
      <c r="O51" s="130"/>
    </row>
    <row r="52" spans="1:15" s="17" customFormat="1" ht="75.75" thickBot="1" x14ac:dyDescent="0.25">
      <c r="B52" s="594"/>
      <c r="C52" s="321" t="s">
        <v>310</v>
      </c>
      <c r="D52" s="24" t="s">
        <v>412</v>
      </c>
      <c r="E52" s="522" t="s">
        <v>413</v>
      </c>
      <c r="F52" s="504" t="s">
        <v>641</v>
      </c>
      <c r="G52" s="21">
        <v>0</v>
      </c>
      <c r="H52" s="267"/>
      <c r="I52" s="207">
        <v>0</v>
      </c>
      <c r="J52" s="208">
        <v>0</v>
      </c>
      <c r="K52" s="208">
        <v>0</v>
      </c>
      <c r="L52" s="24" t="s">
        <v>307</v>
      </c>
      <c r="M52" s="276" t="s">
        <v>689</v>
      </c>
      <c r="N52" s="276" t="s">
        <v>699</v>
      </c>
      <c r="O52" s="23"/>
    </row>
    <row r="53" spans="1:15" s="153" customFormat="1" ht="165.75" thickBot="1" x14ac:dyDescent="0.25">
      <c r="A53" s="147">
        <v>11</v>
      </c>
      <c r="B53" s="378"/>
      <c r="C53" s="196"/>
      <c r="D53" s="148" t="s">
        <v>218</v>
      </c>
      <c r="E53" s="215" t="s">
        <v>45</v>
      </c>
      <c r="F53" s="216" t="s">
        <v>219</v>
      </c>
      <c r="G53" s="149">
        <v>0</v>
      </c>
      <c r="H53" s="150">
        <v>250</v>
      </c>
      <c r="I53" s="340">
        <v>0</v>
      </c>
      <c r="J53" s="341">
        <v>0</v>
      </c>
      <c r="K53" s="341">
        <v>0</v>
      </c>
      <c r="L53" s="154" t="s">
        <v>307</v>
      </c>
      <c r="M53" s="154" t="s">
        <v>700</v>
      </c>
      <c r="N53" s="154" t="s">
        <v>701</v>
      </c>
      <c r="O53" s="152"/>
    </row>
    <row r="54" spans="1:15" s="153" customFormat="1" ht="210.75" thickBot="1" x14ac:dyDescent="0.25">
      <c r="A54" s="147">
        <f>A53+1</f>
        <v>12</v>
      </c>
      <c r="B54" s="378"/>
      <c r="C54" s="196"/>
      <c r="D54" s="148" t="s">
        <v>220</v>
      </c>
      <c r="E54" s="215" t="s">
        <v>46</v>
      </c>
      <c r="F54" s="216" t="s">
        <v>221</v>
      </c>
      <c r="G54" s="298">
        <f>(0.25*G56)+(0.25*G57)+(0.25*G59)+(0.25*G60)</f>
        <v>0.51424999999999998</v>
      </c>
      <c r="H54" s="150">
        <v>380</v>
      </c>
      <c r="I54" s="340"/>
      <c r="J54" s="341"/>
      <c r="K54" s="341"/>
      <c r="L54" s="154"/>
      <c r="M54" s="154" t="s">
        <v>703</v>
      </c>
      <c r="N54" s="154" t="s">
        <v>702</v>
      </c>
      <c r="O54" s="152"/>
    </row>
    <row r="55" spans="1:15" s="10" customFormat="1" ht="30" x14ac:dyDescent="0.2">
      <c r="B55" s="596" t="s">
        <v>318</v>
      </c>
      <c r="C55" s="101">
        <v>1280503</v>
      </c>
      <c r="D55" s="20" t="s">
        <v>47</v>
      </c>
      <c r="E55" s="203" t="s">
        <v>416</v>
      </c>
      <c r="F55" s="205" t="s">
        <v>415</v>
      </c>
      <c r="G55" s="293">
        <v>1</v>
      </c>
      <c r="H55" s="192"/>
      <c r="I55" s="207">
        <v>11.609</v>
      </c>
      <c r="J55" s="208">
        <v>9.8339999999999996</v>
      </c>
      <c r="K55" s="208">
        <f>Table3[[#This Row],[CIP Funds (millions)]]-Table3[[#This Row],[TransNet Funds (millions)]]</f>
        <v>1.7750000000000004</v>
      </c>
      <c r="L55" s="24" t="s">
        <v>783</v>
      </c>
      <c r="M55" s="24" t="s">
        <v>6</v>
      </c>
      <c r="N55" s="24" t="s">
        <v>6</v>
      </c>
      <c r="O55" s="116" t="s">
        <v>667</v>
      </c>
    </row>
    <row r="56" spans="1:15" s="10" customFormat="1" ht="60" x14ac:dyDescent="0.2">
      <c r="B56" s="597"/>
      <c r="C56" s="10">
        <v>1280505</v>
      </c>
      <c r="D56" s="11" t="s">
        <v>26</v>
      </c>
      <c r="E56" s="206" t="s">
        <v>155</v>
      </c>
      <c r="F56" s="206" t="s">
        <v>642</v>
      </c>
      <c r="G56" s="322">
        <v>1</v>
      </c>
      <c r="H56" s="82"/>
      <c r="I56" s="207">
        <v>95.775000000000006</v>
      </c>
      <c r="J56" s="208">
        <v>32.465000000000003</v>
      </c>
      <c r="K56" s="208">
        <f>I56-J56</f>
        <v>63.31</v>
      </c>
      <c r="L56" s="24"/>
      <c r="M56" s="24" t="s">
        <v>6</v>
      </c>
      <c r="N56" s="24" t="s">
        <v>6</v>
      </c>
      <c r="O56" s="116" t="s">
        <v>667</v>
      </c>
    </row>
    <row r="57" spans="1:15" s="364" customFormat="1" ht="45.75" thickBot="1" x14ac:dyDescent="0.25">
      <c r="B57" s="597"/>
      <c r="C57" s="364">
        <v>1280511</v>
      </c>
      <c r="D57" s="365" t="s">
        <v>48</v>
      </c>
      <c r="E57" s="523" t="s">
        <v>156</v>
      </c>
      <c r="F57" s="523" t="s">
        <v>643</v>
      </c>
      <c r="G57" s="366">
        <v>1</v>
      </c>
      <c r="H57" s="367"/>
      <c r="I57" s="368">
        <v>111.49</v>
      </c>
      <c r="J57" s="369">
        <f>4.916+2.789</f>
        <v>7.7050000000000001</v>
      </c>
      <c r="K57" s="369">
        <f>I57-J57</f>
        <v>103.785</v>
      </c>
      <c r="L57" s="370"/>
      <c r="M57" s="370" t="s">
        <v>6</v>
      </c>
      <c r="N57" s="371" t="s">
        <v>6</v>
      </c>
      <c r="O57" s="437" t="s">
        <v>764</v>
      </c>
    </row>
    <row r="58" spans="1:15" s="10" customFormat="1" ht="45" x14ac:dyDescent="0.2">
      <c r="B58" s="595" t="s">
        <v>319</v>
      </c>
      <c r="C58" s="10">
        <v>1280516</v>
      </c>
      <c r="D58" s="20" t="s">
        <v>49</v>
      </c>
      <c r="E58" s="205" t="s">
        <v>157</v>
      </c>
      <c r="F58" s="205" t="s">
        <v>158</v>
      </c>
      <c r="G58" s="495">
        <f>0.05+0.1+0.25+(0.6*0.25)</f>
        <v>0.55000000000000004</v>
      </c>
      <c r="H58" s="88"/>
      <c r="I58" s="207">
        <v>31.516999999999999</v>
      </c>
      <c r="J58" s="208">
        <v>0.72099999999999997</v>
      </c>
      <c r="K58" s="208">
        <f>I58-J58</f>
        <v>30.795999999999999</v>
      </c>
      <c r="L58" s="24" t="s">
        <v>441</v>
      </c>
      <c r="M58" s="24" t="s">
        <v>6</v>
      </c>
      <c r="N58" s="24" t="s">
        <v>6</v>
      </c>
      <c r="O58" s="116" t="s">
        <v>373</v>
      </c>
    </row>
    <row r="59" spans="1:15" s="10" customFormat="1" ht="45" x14ac:dyDescent="0.2">
      <c r="B59" s="593"/>
      <c r="C59" s="10">
        <v>1280517</v>
      </c>
      <c r="D59" s="64" t="s">
        <v>90</v>
      </c>
      <c r="E59" s="507" t="s">
        <v>455</v>
      </c>
      <c r="F59" s="232" t="s">
        <v>452</v>
      </c>
      <c r="G59" s="441">
        <v>0</v>
      </c>
      <c r="H59" s="63"/>
      <c r="I59" s="319">
        <v>86.3</v>
      </c>
      <c r="J59" s="320">
        <v>1.3</v>
      </c>
      <c r="K59" s="320">
        <f>Table3[[#This Row],[CIP Funds (millions)]]-Table3[[#This Row],[TransNet Funds (millions)]]</f>
        <v>85</v>
      </c>
      <c r="L59" s="296" t="s">
        <v>349</v>
      </c>
      <c r="M59" s="296" t="s">
        <v>391</v>
      </c>
      <c r="N59" s="296" t="s">
        <v>706</v>
      </c>
      <c r="O59" s="111"/>
    </row>
    <row r="60" spans="1:15" s="17" customFormat="1" ht="210.75" thickBot="1" x14ac:dyDescent="0.25">
      <c r="B60" s="594"/>
      <c r="C60" s="17">
        <v>1280519</v>
      </c>
      <c r="D60" s="18" t="s">
        <v>50</v>
      </c>
      <c r="E60" s="520" t="s">
        <v>159</v>
      </c>
      <c r="F60" s="520" t="s">
        <v>160</v>
      </c>
      <c r="G60" s="496">
        <f>0.05+(0.1*0.07)</f>
        <v>5.7000000000000002E-2</v>
      </c>
      <c r="H60" s="80"/>
      <c r="I60" s="313">
        <v>30</v>
      </c>
      <c r="J60" s="314">
        <v>24</v>
      </c>
      <c r="K60" s="314">
        <v>6</v>
      </c>
      <c r="L60" s="188" t="s">
        <v>784</v>
      </c>
      <c r="M60" s="33" t="s">
        <v>704</v>
      </c>
      <c r="N60" s="33" t="s">
        <v>705</v>
      </c>
      <c r="O60" s="117"/>
    </row>
    <row r="61" spans="1:15" s="8" customFormat="1" ht="30" x14ac:dyDescent="0.2">
      <c r="A61" s="28">
        <f>A54+1</f>
        <v>13</v>
      </c>
      <c r="B61" s="379"/>
      <c r="C61" s="197"/>
      <c r="D61" s="29" t="s">
        <v>222</v>
      </c>
      <c r="E61" s="221" t="s">
        <v>51</v>
      </c>
      <c r="F61" s="218" t="s">
        <v>223</v>
      </c>
      <c r="G61" s="31">
        <f>(0.5*G62)+(0.5*G63)</f>
        <v>0.60624999999999996</v>
      </c>
      <c r="H61" s="32">
        <v>10</v>
      </c>
      <c r="I61" s="315"/>
      <c r="J61" s="316"/>
      <c r="K61" s="316"/>
      <c r="L61" s="34"/>
      <c r="M61" s="34" t="s">
        <v>707</v>
      </c>
      <c r="N61" s="34" t="s">
        <v>709</v>
      </c>
      <c r="O61" s="118"/>
    </row>
    <row r="62" spans="1:15" s="10" customFormat="1" ht="30.75" thickBot="1" x14ac:dyDescent="0.25">
      <c r="B62" s="164" t="s">
        <v>318</v>
      </c>
      <c r="C62" s="101">
        <v>1280506</v>
      </c>
      <c r="D62" s="131" t="s">
        <v>27</v>
      </c>
      <c r="E62" s="517" t="s">
        <v>418</v>
      </c>
      <c r="F62" s="524" t="s">
        <v>417</v>
      </c>
      <c r="G62" s="383">
        <v>1</v>
      </c>
      <c r="H62" s="384"/>
      <c r="I62" s="385">
        <v>13.768000000000001</v>
      </c>
      <c r="J62" s="320">
        <v>0</v>
      </c>
      <c r="K62" s="320">
        <f>Table3[[#This Row],[CIP Funds (millions)]]-Table3[[#This Row],[TransNet Funds (millions)]]</f>
        <v>13.768000000000001</v>
      </c>
      <c r="L62" s="296"/>
      <c r="M62" s="296" t="s">
        <v>6</v>
      </c>
      <c r="N62" s="296" t="s">
        <v>6</v>
      </c>
      <c r="O62" s="111" t="s">
        <v>373</v>
      </c>
    </row>
    <row r="63" spans="1:15" s="252" customFormat="1" ht="120.75" thickBot="1" x14ac:dyDescent="0.25">
      <c r="B63" s="251" t="s">
        <v>319</v>
      </c>
      <c r="C63" s="252">
        <v>1280520</v>
      </c>
      <c r="D63" s="253" t="s">
        <v>52</v>
      </c>
      <c r="E63" s="386" t="s">
        <v>161</v>
      </c>
      <c r="F63" s="254" t="s">
        <v>664</v>
      </c>
      <c r="G63" s="387">
        <f>0.05+0.1+(0.25*0.25)</f>
        <v>0.21250000000000002</v>
      </c>
      <c r="H63" s="388"/>
      <c r="I63" s="389">
        <v>16</v>
      </c>
      <c r="J63" s="327">
        <v>0</v>
      </c>
      <c r="K63" s="327">
        <f>Table3[[#This Row],[CIP Funds (millions)]]-J63</f>
        <v>16</v>
      </c>
      <c r="L63" s="257" t="s">
        <v>672</v>
      </c>
      <c r="M63" s="257" t="s">
        <v>708</v>
      </c>
      <c r="N63" s="257" t="s">
        <v>710</v>
      </c>
      <c r="O63" s="390"/>
    </row>
    <row r="64" spans="1:15" s="8" customFormat="1" ht="60" x14ac:dyDescent="0.2">
      <c r="A64" s="28">
        <f>A61+1</f>
        <v>14</v>
      </c>
      <c r="B64" s="379"/>
      <c r="C64" s="197"/>
      <c r="D64" s="30" t="s">
        <v>224</v>
      </c>
      <c r="E64" s="221" t="s">
        <v>226</v>
      </c>
      <c r="F64" s="218" t="s">
        <v>225</v>
      </c>
      <c r="G64" s="392">
        <v>1</v>
      </c>
      <c r="H64" s="32">
        <v>500</v>
      </c>
      <c r="I64" s="315"/>
      <c r="J64" s="316"/>
      <c r="K64" s="316"/>
      <c r="L64" s="34"/>
      <c r="M64" s="34" t="s">
        <v>6</v>
      </c>
      <c r="N64" s="34" t="s">
        <v>6</v>
      </c>
      <c r="O64" s="546" t="s">
        <v>673</v>
      </c>
    </row>
    <row r="65" spans="1:15" s="10" customFormat="1" ht="75" x14ac:dyDescent="0.2">
      <c r="B65" s="597" t="s">
        <v>318</v>
      </c>
      <c r="C65" s="101">
        <v>1201513</v>
      </c>
      <c r="D65" s="11" t="s">
        <v>53</v>
      </c>
      <c r="E65" s="502" t="s">
        <v>420</v>
      </c>
      <c r="F65" s="206" t="s">
        <v>419</v>
      </c>
      <c r="G65" s="99">
        <v>1</v>
      </c>
      <c r="H65" s="100"/>
      <c r="I65" s="311">
        <v>59.991</v>
      </c>
      <c r="J65" s="291">
        <v>30.898</v>
      </c>
      <c r="K65" s="291">
        <f>I65-J65</f>
        <v>29.093</v>
      </c>
      <c r="L65" s="37"/>
      <c r="M65" s="206" t="s">
        <v>6</v>
      </c>
      <c r="N65" s="37" t="s">
        <v>6</v>
      </c>
      <c r="O65" s="115" t="s">
        <v>667</v>
      </c>
    </row>
    <row r="66" spans="1:15" s="10" customFormat="1" ht="105" x14ac:dyDescent="0.2">
      <c r="B66" s="597"/>
      <c r="C66" s="10">
        <v>1280504</v>
      </c>
      <c r="D66" s="87" t="s">
        <v>54</v>
      </c>
      <c r="E66" s="206" t="s">
        <v>195</v>
      </c>
      <c r="F66" s="206" t="s">
        <v>196</v>
      </c>
      <c r="G66" s="391">
        <v>1</v>
      </c>
      <c r="H66" s="90"/>
      <c r="I66" s="323">
        <v>127.39100000000001</v>
      </c>
      <c r="J66" s="324">
        <f>3.076+102.755129+0.148</f>
        <v>105.97912899999999</v>
      </c>
      <c r="K66" s="324">
        <f>Table3[[#This Row],[CIP Funds (millions)]]-Table3[[#This Row],[TransNet Funds (millions)]]</f>
        <v>21.411871000000019</v>
      </c>
      <c r="L66" s="81"/>
      <c r="M66" s="206" t="s">
        <v>6</v>
      </c>
      <c r="N66" s="37" t="s">
        <v>6</v>
      </c>
      <c r="O66" s="547" t="s">
        <v>674</v>
      </c>
    </row>
    <row r="67" spans="1:15" s="10" customFormat="1" ht="75" x14ac:dyDescent="0.2">
      <c r="B67" s="597"/>
      <c r="C67" s="101">
        <v>1280512</v>
      </c>
      <c r="D67" s="11" t="s">
        <v>28</v>
      </c>
      <c r="E67" s="206" t="s">
        <v>421</v>
      </c>
      <c r="F67" s="206" t="s">
        <v>422</v>
      </c>
      <c r="G67" s="99">
        <v>1</v>
      </c>
      <c r="H67" s="100"/>
      <c r="I67" s="311">
        <v>1.673</v>
      </c>
      <c r="J67" s="291">
        <v>1.673</v>
      </c>
      <c r="K67" s="291">
        <f>Table3[[#This Row],[CIP Funds (millions)]]-Table3[[#This Row],[TransNet Funds (millions)]]</f>
        <v>0</v>
      </c>
      <c r="L67" s="37"/>
      <c r="M67" s="206" t="s">
        <v>6</v>
      </c>
      <c r="N67" s="37" t="s">
        <v>6</v>
      </c>
      <c r="O67" s="115" t="s">
        <v>667</v>
      </c>
    </row>
    <row r="68" spans="1:15" s="17" customFormat="1" ht="135.75" thickBot="1" x14ac:dyDescent="0.25">
      <c r="B68" s="591"/>
      <c r="C68" s="104">
        <v>1685501</v>
      </c>
      <c r="D68" s="102" t="s">
        <v>55</v>
      </c>
      <c r="E68" s="520" t="s">
        <v>423</v>
      </c>
      <c r="F68" s="525" t="s">
        <v>399</v>
      </c>
      <c r="G68" s="92">
        <v>1</v>
      </c>
      <c r="H68" s="103"/>
      <c r="I68" s="211">
        <v>4.9798169999999997</v>
      </c>
      <c r="J68" s="212">
        <f>2.906273+0.258575</f>
        <v>3.1648480000000001</v>
      </c>
      <c r="K68" s="212">
        <f>Table3[[#This Row],[CIP Funds (millions)]]-J68</f>
        <v>1.8149689999999996</v>
      </c>
      <c r="L68" s="33"/>
      <c r="M68" s="33" t="s">
        <v>6</v>
      </c>
      <c r="N68" s="33" t="s">
        <v>6</v>
      </c>
      <c r="O68" s="108" t="s">
        <v>373</v>
      </c>
    </row>
    <row r="69" spans="1:15" s="8" customFormat="1" ht="60" x14ac:dyDescent="0.2">
      <c r="A69" s="28">
        <v>14</v>
      </c>
      <c r="B69" s="379"/>
      <c r="C69" s="197"/>
      <c r="D69" s="30" t="s">
        <v>224</v>
      </c>
      <c r="E69" s="221" t="s">
        <v>226</v>
      </c>
      <c r="F69" s="218" t="s">
        <v>225</v>
      </c>
      <c r="G69" s="35">
        <f>(0.5*G70)+(0.5*G71)</f>
        <v>0.97499999999999998</v>
      </c>
      <c r="H69" s="32">
        <v>120</v>
      </c>
      <c r="I69" s="315"/>
      <c r="J69" s="316"/>
      <c r="K69" s="316"/>
      <c r="L69" s="34"/>
      <c r="M69" s="34" t="s">
        <v>401</v>
      </c>
      <c r="N69" s="34" t="s">
        <v>713</v>
      </c>
      <c r="O69" s="118"/>
    </row>
    <row r="70" spans="1:15" s="10" customFormat="1" ht="45.75" thickBot="1" x14ac:dyDescent="0.25">
      <c r="B70" s="164" t="s">
        <v>318</v>
      </c>
      <c r="C70" s="101">
        <v>1280507</v>
      </c>
      <c r="D70" s="131" t="s">
        <v>56</v>
      </c>
      <c r="E70" s="517" t="s">
        <v>424</v>
      </c>
      <c r="F70" s="232" t="s">
        <v>425</v>
      </c>
      <c r="G70" s="249">
        <v>1</v>
      </c>
      <c r="H70" s="140"/>
      <c r="I70" s="319">
        <v>1.1446160000000001</v>
      </c>
      <c r="J70" s="320">
        <v>0.22892299999999999</v>
      </c>
      <c r="K70" s="320">
        <f>Table3[[#This Row],[CIP Funds (millions)]]-Table3[[#This Row],[TransNet Funds (millions)]]</f>
        <v>0.91569300000000009</v>
      </c>
      <c r="L70" s="296"/>
      <c r="M70" s="296" t="s">
        <v>6</v>
      </c>
      <c r="N70" s="296" t="s">
        <v>6</v>
      </c>
      <c r="O70" s="111" t="s">
        <v>667</v>
      </c>
    </row>
    <row r="71" spans="1:15" s="252" customFormat="1" ht="75.75" thickBot="1" x14ac:dyDescent="0.25">
      <c r="B71" s="251" t="s">
        <v>319</v>
      </c>
      <c r="C71" s="252">
        <v>1280513</v>
      </c>
      <c r="D71" s="548" t="s">
        <v>57</v>
      </c>
      <c r="E71" s="254" t="s">
        <v>193</v>
      </c>
      <c r="F71" s="254" t="s">
        <v>194</v>
      </c>
      <c r="G71" s="387">
        <v>0.95</v>
      </c>
      <c r="H71" s="388"/>
      <c r="I71" s="389">
        <v>30.9</v>
      </c>
      <c r="J71" s="327">
        <v>16.815999999999999</v>
      </c>
      <c r="K71" s="327">
        <v>14.084</v>
      </c>
      <c r="L71" s="257" t="s">
        <v>675</v>
      </c>
      <c r="M71" s="257" t="s">
        <v>401</v>
      </c>
      <c r="N71" s="257" t="s">
        <v>713</v>
      </c>
      <c r="O71" s="390"/>
    </row>
    <row r="72" spans="1:15" s="153" customFormat="1" ht="30.75" thickBot="1" x14ac:dyDescent="0.25">
      <c r="A72" s="266">
        <f>A64+1</f>
        <v>15</v>
      </c>
      <c r="B72" s="378"/>
      <c r="C72" s="196"/>
      <c r="D72" s="151" t="s">
        <v>227</v>
      </c>
      <c r="E72" s="215" t="s">
        <v>58</v>
      </c>
      <c r="F72" s="216" t="s">
        <v>228</v>
      </c>
      <c r="G72" s="149">
        <f>G73</f>
        <v>4.9500000000000002E-2</v>
      </c>
      <c r="H72" s="150">
        <v>70</v>
      </c>
      <c r="I72" s="340"/>
      <c r="J72" s="341"/>
      <c r="K72" s="341"/>
      <c r="L72" s="154"/>
      <c r="M72" s="154" t="s">
        <v>60</v>
      </c>
      <c r="N72" s="154" t="s">
        <v>714</v>
      </c>
      <c r="O72" s="152"/>
    </row>
    <row r="73" spans="1:15" s="17" customFormat="1" ht="45.75" thickBot="1" x14ac:dyDescent="0.25">
      <c r="B73" s="166" t="s">
        <v>319</v>
      </c>
      <c r="C73" s="17">
        <v>1280518</v>
      </c>
      <c r="D73" s="27" t="s">
        <v>59</v>
      </c>
      <c r="E73" s="522" t="s">
        <v>191</v>
      </c>
      <c r="F73" s="504" t="s">
        <v>192</v>
      </c>
      <c r="G73" s="526">
        <f>(0.05*0.99)</f>
        <v>4.9500000000000002E-2</v>
      </c>
      <c r="H73" s="497"/>
      <c r="I73" s="313">
        <v>0.8</v>
      </c>
      <c r="J73" s="314">
        <v>0.8</v>
      </c>
      <c r="K73" s="314">
        <v>0</v>
      </c>
      <c r="L73" s="188" t="s">
        <v>676</v>
      </c>
      <c r="M73" s="188" t="s">
        <v>60</v>
      </c>
      <c r="N73" s="188" t="s">
        <v>715</v>
      </c>
      <c r="O73" s="117"/>
    </row>
    <row r="74" spans="1:15" s="36" customFormat="1" ht="75.75" thickBot="1" x14ac:dyDescent="0.25">
      <c r="A74" s="40">
        <f>A72+1</f>
        <v>16</v>
      </c>
      <c r="B74" s="163"/>
      <c r="C74" s="199"/>
      <c r="D74" s="44" t="s">
        <v>229</v>
      </c>
      <c r="E74" s="223" t="s">
        <v>231</v>
      </c>
      <c r="F74" s="224" t="s">
        <v>230</v>
      </c>
      <c r="G74" s="41">
        <v>0</v>
      </c>
      <c r="H74" s="42">
        <f>70+50</f>
        <v>120</v>
      </c>
      <c r="I74" s="352">
        <v>0</v>
      </c>
      <c r="J74" s="353">
        <v>0</v>
      </c>
      <c r="K74" s="353">
        <v>0</v>
      </c>
      <c r="L74" s="44" t="s">
        <v>307</v>
      </c>
      <c r="M74" s="44" t="s">
        <v>398</v>
      </c>
      <c r="N74" s="44" t="s">
        <v>400</v>
      </c>
      <c r="O74" s="120"/>
    </row>
    <row r="75" spans="1:15" s="77" customFormat="1" ht="30.75" thickBot="1" x14ac:dyDescent="0.35">
      <c r="A75" s="40">
        <f>A74+1</f>
        <v>17</v>
      </c>
      <c r="B75" s="163"/>
      <c r="C75" s="199"/>
      <c r="D75" s="43" t="s">
        <v>232</v>
      </c>
      <c r="E75" s="223" t="s">
        <v>61</v>
      </c>
      <c r="F75" s="224" t="s">
        <v>644</v>
      </c>
      <c r="G75" s="41">
        <v>0</v>
      </c>
      <c r="H75" s="46">
        <v>70</v>
      </c>
      <c r="I75" s="354">
        <v>0</v>
      </c>
      <c r="J75" s="355">
        <v>0</v>
      </c>
      <c r="K75" s="355">
        <v>0</v>
      </c>
      <c r="L75" s="45" t="s">
        <v>307</v>
      </c>
      <c r="M75" s="45" t="s">
        <v>716</v>
      </c>
      <c r="N75" s="45" t="s">
        <v>717</v>
      </c>
      <c r="O75" s="121"/>
    </row>
    <row r="76" spans="1:15" s="77" customFormat="1" ht="60.75" thickBot="1" x14ac:dyDescent="0.35">
      <c r="A76" s="40">
        <f t="shared" ref="A76:A172" si="0">A75+1</f>
        <v>18</v>
      </c>
      <c r="B76" s="163"/>
      <c r="C76" s="199"/>
      <c r="D76" s="97" t="s">
        <v>233</v>
      </c>
      <c r="E76" s="225" t="s">
        <v>62</v>
      </c>
      <c r="F76" s="226" t="s">
        <v>645</v>
      </c>
      <c r="G76" s="41">
        <v>0</v>
      </c>
      <c r="H76" s="46">
        <v>150</v>
      </c>
      <c r="I76" s="354">
        <v>0</v>
      </c>
      <c r="J76" s="355">
        <v>0</v>
      </c>
      <c r="K76" s="355">
        <v>0</v>
      </c>
      <c r="L76" s="45" t="s">
        <v>307</v>
      </c>
      <c r="M76" s="45" t="s">
        <v>719</v>
      </c>
      <c r="N76" s="45" t="s">
        <v>718</v>
      </c>
      <c r="O76" s="121"/>
    </row>
    <row r="77" spans="1:15" s="77" customFormat="1" ht="75.75" thickBot="1" x14ac:dyDescent="0.35">
      <c r="A77" s="40">
        <f t="shared" si="0"/>
        <v>19</v>
      </c>
      <c r="B77" s="163"/>
      <c r="C77" s="199"/>
      <c r="D77" s="97" t="s">
        <v>234</v>
      </c>
      <c r="E77" s="225" t="s">
        <v>40</v>
      </c>
      <c r="F77" s="226" t="s">
        <v>646</v>
      </c>
      <c r="G77" s="41">
        <v>0</v>
      </c>
      <c r="H77" s="46">
        <v>130</v>
      </c>
      <c r="I77" s="354">
        <v>0</v>
      </c>
      <c r="J77" s="355">
        <v>0</v>
      </c>
      <c r="K77" s="355">
        <v>0</v>
      </c>
      <c r="L77" s="45" t="s">
        <v>307</v>
      </c>
      <c r="M77" s="45" t="s">
        <v>720</v>
      </c>
      <c r="N77" s="45" t="s">
        <v>721</v>
      </c>
      <c r="O77" s="121"/>
    </row>
    <row r="78" spans="1:15" s="77" customFormat="1" ht="45.75" thickBot="1" x14ac:dyDescent="0.35">
      <c r="A78" s="40">
        <f t="shared" si="0"/>
        <v>20</v>
      </c>
      <c r="B78" s="163"/>
      <c r="C78" s="199"/>
      <c r="D78" s="97" t="s">
        <v>235</v>
      </c>
      <c r="E78" s="225" t="s">
        <v>43</v>
      </c>
      <c r="F78" s="226" t="s">
        <v>647</v>
      </c>
      <c r="G78" s="41">
        <f>(0.05*0.75)+(0.05*0.25*0.6)</f>
        <v>4.5000000000000005E-2</v>
      </c>
      <c r="H78" s="46">
        <v>600</v>
      </c>
      <c r="I78" s="354"/>
      <c r="J78" s="355"/>
      <c r="K78" s="355"/>
      <c r="L78" s="45"/>
      <c r="M78" s="45" t="s">
        <v>73</v>
      </c>
      <c r="N78" s="45" t="s">
        <v>722</v>
      </c>
      <c r="O78" s="121"/>
    </row>
    <row r="79" spans="1:15" ht="150" x14ac:dyDescent="0.3">
      <c r="A79" s="10"/>
      <c r="B79" s="596" t="s">
        <v>318</v>
      </c>
      <c r="C79" s="10">
        <v>1600503</v>
      </c>
      <c r="D79" s="393" t="s">
        <v>67</v>
      </c>
      <c r="E79" s="206" t="s">
        <v>427</v>
      </c>
      <c r="F79" s="206" t="s">
        <v>426</v>
      </c>
      <c r="G79" s="589">
        <v>1</v>
      </c>
      <c r="H79" s="75"/>
      <c r="I79" s="311">
        <v>0.87539</v>
      </c>
      <c r="J79" s="291">
        <v>8.4000000000000005E-2</v>
      </c>
      <c r="K79" s="356">
        <f>Table3[[#This Row],[CIP Funds (millions)]]-Table3[[#This Row],[TransNet Funds (millions)]]</f>
        <v>0.79139000000000004</v>
      </c>
      <c r="L79" s="53"/>
      <c r="M79" s="53" t="s">
        <v>6</v>
      </c>
      <c r="N79" s="53" t="s">
        <v>6</v>
      </c>
      <c r="O79" s="122" t="s">
        <v>373</v>
      </c>
    </row>
    <row r="80" spans="1:15" ht="150" x14ac:dyDescent="0.3">
      <c r="A80" s="10"/>
      <c r="B80" s="597"/>
      <c r="C80" s="10">
        <v>1600505</v>
      </c>
      <c r="D80" s="66" t="s">
        <v>68</v>
      </c>
      <c r="E80" s="232" t="s">
        <v>429</v>
      </c>
      <c r="F80" s="232" t="s">
        <v>428</v>
      </c>
      <c r="G80" s="411">
        <v>1</v>
      </c>
      <c r="H80" s="394"/>
      <c r="I80" s="319">
        <v>0.96699999999999997</v>
      </c>
      <c r="J80" s="320">
        <v>0</v>
      </c>
      <c r="K80" s="395">
        <f>Table3[[#This Row],[CIP Funds (millions)]]-Table3[[#This Row],[TransNet Funds (millions)]]</f>
        <v>0.96699999999999997</v>
      </c>
      <c r="L80" s="300"/>
      <c r="M80" s="53" t="s">
        <v>6</v>
      </c>
      <c r="N80" s="53" t="s">
        <v>6</v>
      </c>
      <c r="O80" s="122" t="s">
        <v>373</v>
      </c>
    </row>
    <row r="81" spans="1:15" ht="90.75" thickBot="1" x14ac:dyDescent="0.35">
      <c r="A81" s="10"/>
      <c r="B81" s="597"/>
      <c r="C81" s="10">
        <v>1600501</v>
      </c>
      <c r="D81" s="558" t="s">
        <v>65</v>
      </c>
      <c r="E81" s="157" t="s">
        <v>187</v>
      </c>
      <c r="F81" s="157" t="s">
        <v>188</v>
      </c>
      <c r="G81" s="411">
        <v>1</v>
      </c>
      <c r="H81" s="549"/>
      <c r="I81" s="550">
        <v>5.7140000000000004</v>
      </c>
      <c r="J81" s="395">
        <v>0.5</v>
      </c>
      <c r="K81" s="395">
        <f>Table3[[#This Row],[CIP Funds (millions)]]-Table3[[#This Row],[TransNet Funds (millions)]]</f>
        <v>5.2140000000000004</v>
      </c>
      <c r="L81" s="413"/>
      <c r="M81" s="53" t="s">
        <v>6</v>
      </c>
      <c r="N81" s="413" t="s">
        <v>6</v>
      </c>
      <c r="O81" s="414" t="s">
        <v>373</v>
      </c>
    </row>
    <row r="82" spans="1:15" s="396" customFormat="1" ht="165" x14ac:dyDescent="0.3">
      <c r="A82" s="261"/>
      <c r="B82" s="595" t="s">
        <v>319</v>
      </c>
      <c r="C82" s="261">
        <v>1600504</v>
      </c>
      <c r="D82" s="559" t="s">
        <v>66</v>
      </c>
      <c r="E82" s="534" t="s">
        <v>189</v>
      </c>
      <c r="F82" s="534" t="s">
        <v>190</v>
      </c>
      <c r="G82" s="560">
        <v>0.6</v>
      </c>
      <c r="H82" s="561"/>
      <c r="I82" s="562">
        <v>4.8330000000000002</v>
      </c>
      <c r="J82" s="563">
        <v>0.95</v>
      </c>
      <c r="K82" s="563">
        <f>Table3[[#This Row],[CIP Funds (millions)]]-Table3[[#This Row],[TransNet Funds (millions)]]</f>
        <v>3.883</v>
      </c>
      <c r="L82" s="305" t="s">
        <v>687</v>
      </c>
      <c r="M82" s="445" t="s">
        <v>6</v>
      </c>
      <c r="N82" s="445" t="s">
        <v>6</v>
      </c>
      <c r="O82" s="564" t="s">
        <v>373</v>
      </c>
    </row>
    <row r="83" spans="1:15" ht="45.75" thickBot="1" x14ac:dyDescent="0.35">
      <c r="A83" s="10"/>
      <c r="B83" s="594"/>
      <c r="C83" s="201" t="s">
        <v>310</v>
      </c>
      <c r="D83" s="98" t="s">
        <v>681</v>
      </c>
      <c r="E83" s="556" t="s">
        <v>682</v>
      </c>
      <c r="F83" s="222" t="s">
        <v>683</v>
      </c>
      <c r="G83" s="551">
        <v>0</v>
      </c>
      <c r="H83" s="552"/>
      <c r="I83" s="553">
        <v>0</v>
      </c>
      <c r="J83" s="554">
        <v>0</v>
      </c>
      <c r="K83" s="555">
        <v>0</v>
      </c>
      <c r="L83" s="53" t="s">
        <v>686</v>
      </c>
      <c r="M83" s="53" t="s">
        <v>73</v>
      </c>
      <c r="N83" s="53" t="s">
        <v>722</v>
      </c>
      <c r="O83" s="52"/>
    </row>
    <row r="84" spans="1:15" s="153" customFormat="1" ht="75.75" thickBot="1" x14ac:dyDescent="0.25">
      <c r="A84" s="397">
        <f>A78+1</f>
        <v>21</v>
      </c>
      <c r="B84" s="381"/>
      <c r="C84" s="398"/>
      <c r="D84" s="399" t="s">
        <v>236</v>
      </c>
      <c r="E84" s="230" t="s">
        <v>64</v>
      </c>
      <c r="F84" s="231" t="s">
        <v>648</v>
      </c>
      <c r="G84" s="565">
        <f>(0.5*G85)+(0.5*G89)</f>
        <v>0.5</v>
      </c>
      <c r="H84" s="155">
        <v>193</v>
      </c>
      <c r="I84" s="360"/>
      <c r="J84" s="360"/>
      <c r="K84" s="360"/>
      <c r="L84" s="160"/>
      <c r="M84" s="160" t="s">
        <v>728</v>
      </c>
      <c r="N84" s="160" t="s">
        <v>729</v>
      </c>
      <c r="O84" s="161"/>
    </row>
    <row r="85" spans="1:15" s="10" customFormat="1" ht="30" x14ac:dyDescent="0.2">
      <c r="B85" s="597" t="s">
        <v>318</v>
      </c>
      <c r="C85" s="101">
        <v>1200505</v>
      </c>
      <c r="D85" s="55" t="s">
        <v>69</v>
      </c>
      <c r="E85" s="157" t="s">
        <v>431</v>
      </c>
      <c r="F85" s="205" t="s">
        <v>430</v>
      </c>
      <c r="G85" s="317">
        <v>1</v>
      </c>
      <c r="H85" s="192"/>
      <c r="I85" s="207">
        <v>16.338000000000001</v>
      </c>
      <c r="J85" s="208">
        <v>1.5449999999999999</v>
      </c>
      <c r="K85" s="208">
        <f>Table3[[#This Row],[CIP Funds (millions)]]-Table3[[#This Row],[TransNet Funds (millions)]]</f>
        <v>14.793000000000001</v>
      </c>
      <c r="L85" s="24"/>
      <c r="M85" s="24" t="s">
        <v>6</v>
      </c>
      <c r="N85" s="119" t="s">
        <v>6</v>
      </c>
      <c r="O85" s="578" t="s">
        <v>667</v>
      </c>
    </row>
    <row r="86" spans="1:15" s="10" customFormat="1" ht="75" x14ac:dyDescent="0.2">
      <c r="B86" s="597"/>
      <c r="C86" s="10">
        <v>1200506</v>
      </c>
      <c r="D86" s="55" t="s">
        <v>70</v>
      </c>
      <c r="E86" s="158" t="s">
        <v>162</v>
      </c>
      <c r="F86" s="227" t="s">
        <v>163</v>
      </c>
      <c r="G86" s="527">
        <v>1</v>
      </c>
      <c r="H86" s="83"/>
      <c r="I86" s="208">
        <v>121.27800000000001</v>
      </c>
      <c r="J86" s="208">
        <f>5.562+14.539</f>
        <v>20.100999999999999</v>
      </c>
      <c r="K86" s="291">
        <f>Table3[[#This Row],[CIP Funds (millions)]]-Table3[[#This Row],[TransNet Funds (millions)]]</f>
        <v>101.17700000000001</v>
      </c>
      <c r="L86" s="24"/>
      <c r="M86" s="24" t="s">
        <v>6</v>
      </c>
      <c r="N86" s="24" t="s">
        <v>6</v>
      </c>
      <c r="O86" s="119" t="s">
        <v>712</v>
      </c>
    </row>
    <row r="87" spans="1:15" ht="45" x14ac:dyDescent="0.3">
      <c r="A87" s="10"/>
      <c r="B87" s="597"/>
      <c r="C87" s="10">
        <v>1200507</v>
      </c>
      <c r="D87" s="98" t="s">
        <v>71</v>
      </c>
      <c r="E87" s="158" t="s">
        <v>164</v>
      </c>
      <c r="F87" s="158" t="s">
        <v>165</v>
      </c>
      <c r="G87" s="293">
        <v>1</v>
      </c>
      <c r="H87" s="84"/>
      <c r="I87" s="311">
        <v>41.015000000000001</v>
      </c>
      <c r="J87" s="291">
        <f>0.79+22.615</f>
        <v>23.404999999999998</v>
      </c>
      <c r="K87" s="291">
        <f>Table3[[#This Row],[CIP Funds (millions)]]-Table3[[#This Row],[TransNet Funds (millions)]]</f>
        <v>17.610000000000003</v>
      </c>
      <c r="L87" s="53"/>
      <c r="M87" s="53" t="s">
        <v>6</v>
      </c>
      <c r="N87" s="24" t="s">
        <v>6</v>
      </c>
      <c r="O87" s="119" t="s">
        <v>712</v>
      </c>
    </row>
    <row r="88" spans="1:15" s="570" customFormat="1" ht="45.75" thickBot="1" x14ac:dyDescent="0.35">
      <c r="A88" s="364"/>
      <c r="B88" s="597"/>
      <c r="C88" s="364">
        <v>1200508</v>
      </c>
      <c r="D88" s="566" t="s">
        <v>72</v>
      </c>
      <c r="E88" s="462" t="s">
        <v>166</v>
      </c>
      <c r="F88" s="462" t="s">
        <v>167</v>
      </c>
      <c r="G88" s="567">
        <v>1</v>
      </c>
      <c r="H88" s="568"/>
      <c r="I88" s="402">
        <v>24.757000000000001</v>
      </c>
      <c r="J88" s="403">
        <f>14.869078+0.130922</f>
        <v>15</v>
      </c>
      <c r="K88" s="403">
        <f>Table3[[#This Row],[CIP Funds (millions)]]-Table3[[#This Row],[TransNet Funds (millions)]]</f>
        <v>9.7570000000000014</v>
      </c>
      <c r="L88" s="569"/>
      <c r="M88" s="569" t="s">
        <v>6</v>
      </c>
      <c r="N88" s="24" t="s">
        <v>6</v>
      </c>
      <c r="O88" s="119" t="s">
        <v>694</v>
      </c>
    </row>
    <row r="89" spans="1:15" ht="75.75" thickBot="1" x14ac:dyDescent="0.35">
      <c r="A89" s="10"/>
      <c r="B89" s="166" t="s">
        <v>319</v>
      </c>
      <c r="C89" s="201" t="s">
        <v>310</v>
      </c>
      <c r="D89" s="55" t="s">
        <v>236</v>
      </c>
      <c r="E89" s="259" t="s">
        <v>690</v>
      </c>
      <c r="F89" s="157" t="s">
        <v>691</v>
      </c>
      <c r="G89" s="21">
        <v>0</v>
      </c>
      <c r="H89" s="47"/>
      <c r="I89" s="73">
        <v>0</v>
      </c>
      <c r="J89" s="74">
        <v>0</v>
      </c>
      <c r="K89" s="38">
        <v>0</v>
      </c>
      <c r="L89" s="24" t="s">
        <v>307</v>
      </c>
      <c r="M89" s="557" t="s">
        <v>728</v>
      </c>
      <c r="N89" s="557" t="s">
        <v>729</v>
      </c>
      <c r="O89" s="49"/>
    </row>
    <row r="90" spans="1:15" s="153" customFormat="1" ht="60.75" thickBot="1" x14ac:dyDescent="0.25">
      <c r="A90" s="397">
        <f>A84+1</f>
        <v>22</v>
      </c>
      <c r="B90" s="381"/>
      <c r="C90" s="398"/>
      <c r="D90" s="399" t="s">
        <v>237</v>
      </c>
      <c r="E90" s="231" t="s">
        <v>314</v>
      </c>
      <c r="F90" s="231" t="s">
        <v>238</v>
      </c>
      <c r="G90" s="57">
        <f>(0.8*1)+(0.05*G98)+(0.15*G99)</f>
        <v>0.83800000000000008</v>
      </c>
      <c r="H90" s="155">
        <v>270</v>
      </c>
      <c r="I90" s="360"/>
      <c r="J90" s="360"/>
      <c r="K90" s="360"/>
      <c r="L90" s="160"/>
      <c r="M90" s="160" t="s">
        <v>333</v>
      </c>
      <c r="N90" s="160" t="s">
        <v>780</v>
      </c>
      <c r="O90" s="161"/>
    </row>
    <row r="91" spans="1:15" s="10" customFormat="1" ht="60" x14ac:dyDescent="0.2">
      <c r="B91" s="596" t="s">
        <v>318</v>
      </c>
      <c r="C91" s="10">
        <v>1210010</v>
      </c>
      <c r="D91" s="111" t="s">
        <v>535</v>
      </c>
      <c r="E91" s="158" t="s">
        <v>536</v>
      </c>
      <c r="F91" s="528" t="s">
        <v>537</v>
      </c>
      <c r="G91" s="463">
        <v>1</v>
      </c>
      <c r="H91" s="464"/>
      <c r="I91" s="571">
        <v>19.428999999999998</v>
      </c>
      <c r="J91" s="291">
        <v>18.917999999999999</v>
      </c>
      <c r="K91" s="291">
        <f>Table3[[#This Row],[CIP Funds (millions)]]-Table3[[#This Row],[TransNet Funds (millions)]]</f>
        <v>0.51099999999999923</v>
      </c>
      <c r="L91" s="296"/>
      <c r="M91" s="296" t="s">
        <v>6</v>
      </c>
      <c r="N91" s="296" t="s">
        <v>6</v>
      </c>
      <c r="O91" s="111" t="s">
        <v>667</v>
      </c>
    </row>
    <row r="92" spans="1:15" s="10" customFormat="1" ht="60" x14ac:dyDescent="0.2">
      <c r="B92" s="597"/>
      <c r="C92" s="101">
        <v>1210020</v>
      </c>
      <c r="D92" s="55" t="s">
        <v>121</v>
      </c>
      <c r="E92" s="203" t="s">
        <v>435</v>
      </c>
      <c r="F92" s="205" t="s">
        <v>434</v>
      </c>
      <c r="G92" s="191">
        <v>1</v>
      </c>
      <c r="H92" s="192"/>
      <c r="I92" s="207">
        <v>40.840000000000003</v>
      </c>
      <c r="J92" s="208">
        <v>10.412000000000001</v>
      </c>
      <c r="K92" s="208">
        <f>Table3[[#This Row],[CIP Funds (millions)]]-Table3[[#This Row],[TransNet Funds (millions)]]</f>
        <v>30.428000000000004</v>
      </c>
      <c r="L92" s="24"/>
      <c r="M92" s="296" t="s">
        <v>6</v>
      </c>
      <c r="N92" s="296" t="s">
        <v>6</v>
      </c>
      <c r="O92" s="111" t="s">
        <v>667</v>
      </c>
    </row>
    <row r="93" spans="1:15" s="10" customFormat="1" ht="60" x14ac:dyDescent="0.2">
      <c r="B93" s="597"/>
      <c r="C93" s="101">
        <v>1210030</v>
      </c>
      <c r="D93" s="55" t="s">
        <v>122</v>
      </c>
      <c r="E93" s="139" t="s">
        <v>433</v>
      </c>
      <c r="F93" s="206" t="s">
        <v>432</v>
      </c>
      <c r="G93" s="99">
        <v>1</v>
      </c>
      <c r="H93" s="100"/>
      <c r="I93" s="311">
        <v>132.93600000000001</v>
      </c>
      <c r="J93" s="291">
        <v>32.930999999999997</v>
      </c>
      <c r="K93" s="291">
        <f>Table3[[#This Row],[CIP Funds (millions)]]-Table3[[#This Row],[TransNet Funds (millions)]]</f>
        <v>100.00500000000001</v>
      </c>
      <c r="L93" s="24"/>
      <c r="M93" s="296" t="s">
        <v>6</v>
      </c>
      <c r="N93" s="296" t="s">
        <v>6</v>
      </c>
      <c r="O93" s="111" t="s">
        <v>667</v>
      </c>
    </row>
    <row r="94" spans="1:15" s="10" customFormat="1" ht="45" x14ac:dyDescent="0.3">
      <c r="B94" s="597"/>
      <c r="C94" s="10">
        <v>1210040</v>
      </c>
      <c r="D94" s="111" t="s">
        <v>527</v>
      </c>
      <c r="E94" s="206" t="s">
        <v>526</v>
      </c>
      <c r="F94" s="206" t="s">
        <v>525</v>
      </c>
      <c r="G94" s="299">
        <v>1</v>
      </c>
      <c r="H94" s="114"/>
      <c r="I94" s="291">
        <v>29.2</v>
      </c>
      <c r="J94" s="291">
        <v>15.504401</v>
      </c>
      <c r="K94" s="291">
        <f>Table3[[#This Row],[CIP Funds (millions)]]-Table3[[#This Row],[TransNet Funds (millions)]]</f>
        <v>13.695599</v>
      </c>
      <c r="L94" s="296"/>
      <c r="M94" s="296" t="s">
        <v>6</v>
      </c>
      <c r="N94" s="296" t="s">
        <v>6</v>
      </c>
      <c r="O94" s="111" t="s">
        <v>667</v>
      </c>
    </row>
    <row r="95" spans="1:15" s="10" customFormat="1" ht="60" x14ac:dyDescent="0.2">
      <c r="B95" s="597"/>
      <c r="C95" s="101">
        <v>1210050</v>
      </c>
      <c r="D95" s="55" t="s">
        <v>123</v>
      </c>
      <c r="E95" s="139" t="s">
        <v>437</v>
      </c>
      <c r="F95" s="206" t="s">
        <v>436</v>
      </c>
      <c r="G95" s="99">
        <v>1</v>
      </c>
      <c r="H95" s="100"/>
      <c r="I95" s="311">
        <v>5.9790000000000001</v>
      </c>
      <c r="J95" s="291">
        <v>4.992</v>
      </c>
      <c r="K95" s="291">
        <f>Table3[[#This Row],[CIP Funds (millions)]]-Table3[[#This Row],[TransNet Funds (millions)]]</f>
        <v>0.9870000000000001</v>
      </c>
      <c r="L95" s="24"/>
      <c r="M95" s="296" t="s">
        <v>6</v>
      </c>
      <c r="N95" s="296" t="s">
        <v>6</v>
      </c>
      <c r="O95" s="111" t="s">
        <v>667</v>
      </c>
    </row>
    <row r="96" spans="1:15" s="500" customFormat="1" ht="75" x14ac:dyDescent="0.3">
      <c r="A96" s="10"/>
      <c r="B96" s="597"/>
      <c r="C96" s="456">
        <v>1210070</v>
      </c>
      <c r="D96" s="15" t="s">
        <v>534</v>
      </c>
      <c r="E96" s="158" t="s">
        <v>533</v>
      </c>
      <c r="F96" s="158" t="s">
        <v>532</v>
      </c>
      <c r="G96" s="299">
        <v>1</v>
      </c>
      <c r="H96" s="51"/>
      <c r="I96" s="291">
        <v>69.215999999999994</v>
      </c>
      <c r="J96" s="291">
        <v>32.072000000000003</v>
      </c>
      <c r="K96" s="291">
        <f>Table3[[#This Row],[CIP Funds (millions)]]-Table3[[#This Row],[TransNet Funds (millions)]]</f>
        <v>37.143999999999991</v>
      </c>
      <c r="L96" s="37"/>
      <c r="M96" s="296" t="s">
        <v>6</v>
      </c>
      <c r="N96" s="296" t="s">
        <v>6</v>
      </c>
      <c r="O96" s="111" t="s">
        <v>667</v>
      </c>
    </row>
    <row r="97" spans="1:15" s="364" customFormat="1" ht="60.75" thickBot="1" x14ac:dyDescent="0.25">
      <c r="B97" s="598"/>
      <c r="C97" s="400">
        <v>1210080</v>
      </c>
      <c r="D97" s="401" t="s">
        <v>124</v>
      </c>
      <c r="E97" s="203" t="s">
        <v>437</v>
      </c>
      <c r="F97" s="529" t="s">
        <v>438</v>
      </c>
      <c r="G97" s="498">
        <v>1</v>
      </c>
      <c r="H97" s="499"/>
      <c r="I97" s="368">
        <v>269.05700000000002</v>
      </c>
      <c r="J97" s="369">
        <v>36.920999999999999</v>
      </c>
      <c r="K97" s="369">
        <f>Table3[[#This Row],[CIP Funds (millions)]]-Table3[[#This Row],[TransNet Funds (millions)]]</f>
        <v>232.13600000000002</v>
      </c>
      <c r="L97" s="370"/>
      <c r="M97" s="296" t="s">
        <v>6</v>
      </c>
      <c r="N97" s="296" t="s">
        <v>6</v>
      </c>
      <c r="O97" s="404" t="s">
        <v>667</v>
      </c>
    </row>
    <row r="98" spans="1:15" s="10" customFormat="1" ht="60" x14ac:dyDescent="0.2">
      <c r="B98" s="595" t="s">
        <v>319</v>
      </c>
      <c r="C98" s="10">
        <v>1210021</v>
      </c>
      <c r="D98" s="64" t="s">
        <v>524</v>
      </c>
      <c r="E98" s="227" t="s">
        <v>523</v>
      </c>
      <c r="F98" s="227" t="s">
        <v>522</v>
      </c>
      <c r="G98" s="299">
        <f>0.05+0.1+0.25</f>
        <v>0.4</v>
      </c>
      <c r="H98" s="88"/>
      <c r="I98" s="207">
        <v>4.55</v>
      </c>
      <c r="J98" s="208">
        <v>4.55</v>
      </c>
      <c r="K98" s="208">
        <f>Table3[[#This Row],[CIP Funds (millions)]]-Table3[[#This Row],[TransNet Funds (millions)]]</f>
        <v>0</v>
      </c>
      <c r="L98" s="37" t="s">
        <v>481</v>
      </c>
      <c r="M98" s="37" t="s">
        <v>779</v>
      </c>
      <c r="N98" s="37" t="s">
        <v>780</v>
      </c>
      <c r="O98" s="115"/>
    </row>
    <row r="99" spans="1:15" s="10" customFormat="1" ht="45.75" thickBot="1" x14ac:dyDescent="0.25">
      <c r="B99" s="594"/>
      <c r="C99" s="10">
        <v>1210091</v>
      </c>
      <c r="D99" s="407" t="s">
        <v>125</v>
      </c>
      <c r="E99" s="157" t="s">
        <v>168</v>
      </c>
      <c r="F99" s="157" t="s">
        <v>439</v>
      </c>
      <c r="G99" s="530">
        <f>0.05+(0.1*0.7)</f>
        <v>0.12</v>
      </c>
      <c r="H99" s="113"/>
      <c r="I99" s="290">
        <v>34.134999999999998</v>
      </c>
      <c r="J99" s="290">
        <v>5.6950000000000003</v>
      </c>
      <c r="K99" s="290">
        <f>Table3[[#This Row],[CIP Funds (millions)]]-J99</f>
        <v>28.439999999999998</v>
      </c>
      <c r="L99" s="276" t="s">
        <v>440</v>
      </c>
      <c r="M99" s="188" t="s">
        <v>333</v>
      </c>
      <c r="N99" s="188" t="s">
        <v>780</v>
      </c>
      <c r="O99" s="130"/>
    </row>
    <row r="100" spans="1:15" s="153" customFormat="1" ht="45.75" thickBot="1" x14ac:dyDescent="0.25">
      <c r="A100" s="397">
        <f>A90+1</f>
        <v>23</v>
      </c>
      <c r="B100" s="381"/>
      <c r="C100" s="398"/>
      <c r="D100" s="399" t="s">
        <v>239</v>
      </c>
      <c r="E100" s="230" t="s">
        <v>243</v>
      </c>
      <c r="F100" s="231" t="s">
        <v>240</v>
      </c>
      <c r="G100" s="57">
        <v>1</v>
      </c>
      <c r="H100" s="155">
        <f>670+110</f>
        <v>780</v>
      </c>
      <c r="I100" s="360"/>
      <c r="J100" s="360"/>
      <c r="K100" s="360"/>
      <c r="L100" s="160"/>
      <c r="M100" s="160" t="s">
        <v>6</v>
      </c>
      <c r="N100" s="160" t="s">
        <v>6</v>
      </c>
      <c r="O100" s="572" t="s">
        <v>693</v>
      </c>
    </row>
    <row r="101" spans="1:15" s="10" customFormat="1" ht="90" x14ac:dyDescent="0.2">
      <c r="B101" s="597" t="s">
        <v>318</v>
      </c>
      <c r="C101" s="101">
        <v>1041501</v>
      </c>
      <c r="D101" s="55" t="s">
        <v>126</v>
      </c>
      <c r="E101" s="203" t="s">
        <v>442</v>
      </c>
      <c r="F101" s="205" t="s">
        <v>443</v>
      </c>
      <c r="G101" s="317">
        <v>1</v>
      </c>
      <c r="H101" s="192"/>
      <c r="I101" s="207">
        <v>32.344999999999999</v>
      </c>
      <c r="J101" s="208">
        <f>2.448+5.908</f>
        <v>8.3559999999999999</v>
      </c>
      <c r="K101" s="208">
        <f>Table3[[#This Row],[CIP Funds (millions)]]-Table3[[#This Row],[TransNet Funds (millions)]]</f>
        <v>23.988999999999997</v>
      </c>
      <c r="L101" s="24"/>
      <c r="M101" s="24" t="s">
        <v>6</v>
      </c>
      <c r="N101" s="24" t="s">
        <v>6</v>
      </c>
      <c r="O101" s="119" t="s">
        <v>693</v>
      </c>
    </row>
    <row r="102" spans="1:15" s="10" customFormat="1" ht="105.75" thickBot="1" x14ac:dyDescent="0.25">
      <c r="B102" s="591"/>
      <c r="C102" s="10">
        <v>1257001</v>
      </c>
      <c r="D102" s="407" t="s">
        <v>126</v>
      </c>
      <c r="E102" s="157" t="s">
        <v>169</v>
      </c>
      <c r="F102" s="157" t="s">
        <v>170</v>
      </c>
      <c r="G102" s="409">
        <v>1</v>
      </c>
      <c r="H102" s="113"/>
      <c r="I102" s="290">
        <v>2171.201</v>
      </c>
      <c r="J102" s="290">
        <v>875.69299999999998</v>
      </c>
      <c r="K102" s="290">
        <f>Table3[[#This Row],[CIP Funds (millions)]]-Table3[[#This Row],[TransNet Funds (millions)]]</f>
        <v>1295.508</v>
      </c>
      <c r="L102" s="276"/>
      <c r="M102" s="276" t="s">
        <v>6</v>
      </c>
      <c r="N102" s="270" t="s">
        <v>6</v>
      </c>
      <c r="O102" s="296" t="s">
        <v>693</v>
      </c>
    </row>
    <row r="103" spans="1:15" s="153" customFormat="1" ht="45.75" thickBot="1" x14ac:dyDescent="0.25">
      <c r="A103" s="397">
        <v>24</v>
      </c>
      <c r="B103" s="381"/>
      <c r="C103" s="398"/>
      <c r="D103" s="410" t="s">
        <v>241</v>
      </c>
      <c r="E103" s="230" t="s">
        <v>244</v>
      </c>
      <c r="F103" s="231" t="s">
        <v>242</v>
      </c>
      <c r="G103" s="57">
        <v>1</v>
      </c>
      <c r="H103" s="155">
        <v>140</v>
      </c>
      <c r="I103" s="360"/>
      <c r="J103" s="360"/>
      <c r="K103" s="360"/>
      <c r="L103" s="160"/>
      <c r="M103" s="160" t="s">
        <v>6</v>
      </c>
      <c r="N103" s="160" t="s">
        <v>6</v>
      </c>
      <c r="O103" s="161" t="s">
        <v>667</v>
      </c>
    </row>
    <row r="104" spans="1:15" ht="60.75" thickBot="1" x14ac:dyDescent="0.3">
      <c r="A104" s="10"/>
      <c r="B104" s="164" t="s">
        <v>318</v>
      </c>
      <c r="C104" s="10">
        <v>1041502</v>
      </c>
      <c r="D104" s="129" t="s">
        <v>127</v>
      </c>
      <c r="E104" s="508" t="s">
        <v>445</v>
      </c>
      <c r="F104" s="508" t="s">
        <v>444</v>
      </c>
      <c r="G104" s="411">
        <v>1</v>
      </c>
      <c r="H104" s="412"/>
      <c r="I104" s="395">
        <v>35.186999999999998</v>
      </c>
      <c r="J104" s="395">
        <v>33.849333999999999</v>
      </c>
      <c r="K104" s="395">
        <f>Table3[[#This Row],[CIP Funds (millions)]]-Table3[[#This Row],[TransNet Funds (millions)]]</f>
        <v>1.3376659999999987</v>
      </c>
      <c r="L104" s="276"/>
      <c r="M104" s="276" t="s">
        <v>6</v>
      </c>
      <c r="N104" s="276" t="s">
        <v>6</v>
      </c>
      <c r="O104" s="130" t="s">
        <v>667</v>
      </c>
    </row>
    <row r="105" spans="1:15" s="79" customFormat="1" ht="30.75" thickBot="1" x14ac:dyDescent="0.35">
      <c r="A105" s="397">
        <v>25</v>
      </c>
      <c r="B105" s="381"/>
      <c r="C105" s="200"/>
      <c r="D105" s="399" t="s">
        <v>245</v>
      </c>
      <c r="E105" s="230" t="s">
        <v>79</v>
      </c>
      <c r="F105" s="231" t="s">
        <v>246</v>
      </c>
      <c r="G105" s="405">
        <f>0.05+0.1</f>
        <v>0.15000000000000002</v>
      </c>
      <c r="H105" s="155">
        <v>30</v>
      </c>
      <c r="I105" s="361"/>
      <c r="J105" s="361"/>
      <c r="K105" s="361"/>
      <c r="L105" s="156"/>
      <c r="M105" s="156" t="s">
        <v>395</v>
      </c>
      <c r="N105" s="156" t="s">
        <v>731</v>
      </c>
      <c r="O105" s="124"/>
    </row>
    <row r="106" spans="1:15" s="418" customFormat="1" ht="45.75" thickBot="1" x14ac:dyDescent="0.25">
      <c r="B106" s="419" t="s">
        <v>318</v>
      </c>
      <c r="C106" s="418">
        <v>1200501</v>
      </c>
      <c r="D106" s="420" t="s">
        <v>83</v>
      </c>
      <c r="E106" s="421" t="s">
        <v>116</v>
      </c>
      <c r="F106" s="421" t="s">
        <v>446</v>
      </c>
      <c r="G106" s="422">
        <v>1</v>
      </c>
      <c r="H106" s="423"/>
      <c r="I106" s="424">
        <v>74.2</v>
      </c>
      <c r="J106" s="424">
        <v>28.600999999999999</v>
      </c>
      <c r="K106" s="424">
        <v>45.598999999999997</v>
      </c>
      <c r="L106" s="425" t="s">
        <v>785</v>
      </c>
      <c r="M106" s="425" t="s">
        <v>382</v>
      </c>
      <c r="N106" s="425" t="s">
        <v>730</v>
      </c>
      <c r="O106" s="426"/>
    </row>
    <row r="107" spans="1:15" s="10" customFormat="1" ht="41.25" thickBot="1" x14ac:dyDescent="0.25">
      <c r="B107" s="165" t="s">
        <v>319</v>
      </c>
      <c r="C107" s="201" t="s">
        <v>310</v>
      </c>
      <c r="D107" s="55" t="s">
        <v>447</v>
      </c>
      <c r="E107" s="259" t="s">
        <v>79</v>
      </c>
      <c r="F107" s="157" t="s">
        <v>711</v>
      </c>
      <c r="G107" s="21">
        <v>0</v>
      </c>
      <c r="H107" s="38"/>
      <c r="I107" s="74">
        <v>0</v>
      </c>
      <c r="J107" s="74">
        <v>0</v>
      </c>
      <c r="K107" s="38">
        <v>0</v>
      </c>
      <c r="L107" s="257" t="s">
        <v>448</v>
      </c>
      <c r="M107" s="24" t="s">
        <v>395</v>
      </c>
      <c r="N107" s="24" t="s">
        <v>732</v>
      </c>
      <c r="O107" s="24"/>
    </row>
    <row r="108" spans="1:15" s="79" customFormat="1" ht="165.75" thickBot="1" x14ac:dyDescent="0.35">
      <c r="A108" s="397">
        <f>A105+1</f>
        <v>26</v>
      </c>
      <c r="B108" s="381"/>
      <c r="C108" s="200"/>
      <c r="D108" s="58" t="s">
        <v>247</v>
      </c>
      <c r="E108" s="415" t="s">
        <v>80</v>
      </c>
      <c r="F108" s="416" t="s">
        <v>248</v>
      </c>
      <c r="G108" s="440">
        <f>(0.5*1)+(0.25*G113)+(0.25*G116)</f>
        <v>0.75</v>
      </c>
      <c r="H108" s="68">
        <v>400</v>
      </c>
      <c r="I108" s="417"/>
      <c r="J108" s="361"/>
      <c r="K108" s="361"/>
      <c r="L108" s="156"/>
      <c r="M108" s="160" t="s">
        <v>734</v>
      </c>
      <c r="N108" s="160" t="s">
        <v>733</v>
      </c>
      <c r="O108" s="124"/>
    </row>
    <row r="109" spans="1:15" s="427" customFormat="1" ht="45" x14ac:dyDescent="0.2">
      <c r="A109" s="168"/>
      <c r="B109" s="596" t="s">
        <v>318</v>
      </c>
      <c r="C109" s="434">
        <v>1200501</v>
      </c>
      <c r="D109" s="428" t="s">
        <v>83</v>
      </c>
      <c r="E109" s="531" t="s">
        <v>116</v>
      </c>
      <c r="F109" s="531" t="s">
        <v>446</v>
      </c>
      <c r="G109" s="429">
        <v>1</v>
      </c>
      <c r="H109" s="430"/>
      <c r="I109" s="431">
        <v>74.19</v>
      </c>
      <c r="J109" s="431">
        <v>28.527933000000001</v>
      </c>
      <c r="K109" s="431">
        <f>Table3[[#This Row],[CIP Funds (millions)]]-J109</f>
        <v>45.662066999999993</v>
      </c>
      <c r="L109" s="432" t="s">
        <v>786</v>
      </c>
      <c r="M109" s="432" t="s">
        <v>382</v>
      </c>
      <c r="N109" s="432" t="s">
        <v>730</v>
      </c>
      <c r="O109" s="433"/>
    </row>
    <row r="110" spans="1:15" s="10" customFormat="1" ht="90" x14ac:dyDescent="0.2">
      <c r="B110" s="597"/>
      <c r="C110" s="10">
        <v>1200502</v>
      </c>
      <c r="D110" s="23" t="s">
        <v>84</v>
      </c>
      <c r="E110" s="204" t="s">
        <v>118</v>
      </c>
      <c r="F110" s="205" t="s">
        <v>649</v>
      </c>
      <c r="G110" s="441">
        <v>1</v>
      </c>
      <c r="H110" s="267"/>
      <c r="I110" s="207">
        <v>67.64</v>
      </c>
      <c r="J110" s="208">
        <v>20.936</v>
      </c>
      <c r="K110" s="208">
        <f>Table3[[#This Row],[CIP Funds (millions)]]-Table3[[#This Row],[TransNet Funds (millions)]]</f>
        <v>46.704000000000001</v>
      </c>
      <c r="L110" s="24" t="s">
        <v>117</v>
      </c>
      <c r="M110" s="24" t="s">
        <v>6</v>
      </c>
      <c r="N110" s="24" t="s">
        <v>6</v>
      </c>
      <c r="O110" s="116" t="s">
        <v>667</v>
      </c>
    </row>
    <row r="111" spans="1:15" s="10" customFormat="1" ht="30" x14ac:dyDescent="0.2">
      <c r="B111" s="597"/>
      <c r="C111" s="10">
        <v>1200511</v>
      </c>
      <c r="D111" s="64" t="s">
        <v>87</v>
      </c>
      <c r="E111" s="232" t="s">
        <v>449</v>
      </c>
      <c r="F111" s="232" t="s">
        <v>119</v>
      </c>
      <c r="G111" s="575">
        <v>1</v>
      </c>
      <c r="H111" s="63"/>
      <c r="I111" s="319">
        <v>7.3129999999999997</v>
      </c>
      <c r="J111" s="320">
        <v>1.69</v>
      </c>
      <c r="K111" s="320">
        <f>Table3[[#This Row],[CIP Funds (millions)]]-Table3[[#This Row],[TransNet Funds (millions)]]</f>
        <v>5.6229999999999993</v>
      </c>
      <c r="L111" s="296"/>
      <c r="M111" s="296" t="s">
        <v>6</v>
      </c>
      <c r="N111" s="296" t="s">
        <v>6</v>
      </c>
      <c r="O111" s="111" t="s">
        <v>667</v>
      </c>
    </row>
    <row r="112" spans="1:15" s="364" customFormat="1" ht="45.75" thickBot="1" x14ac:dyDescent="0.25">
      <c r="B112" s="439"/>
      <c r="C112" s="364">
        <v>1200512</v>
      </c>
      <c r="D112" s="372" t="s">
        <v>88</v>
      </c>
      <c r="E112" s="523" t="s">
        <v>451</v>
      </c>
      <c r="F112" s="523" t="s">
        <v>120</v>
      </c>
      <c r="G112" s="435">
        <v>1</v>
      </c>
      <c r="H112" s="436"/>
      <c r="I112" s="402">
        <v>7.2430000000000003</v>
      </c>
      <c r="J112" s="403">
        <v>0.13200000000000001</v>
      </c>
      <c r="K112" s="403">
        <f>Table3[[#This Row],[CIP Funds (millions)]]-Table3[[#This Row],[TransNet Funds (millions)]]</f>
        <v>7.1110000000000007</v>
      </c>
      <c r="L112" s="437"/>
      <c r="M112" s="437" t="s">
        <v>6</v>
      </c>
      <c r="N112" s="437" t="s">
        <v>6</v>
      </c>
      <c r="O112" s="574" t="s">
        <v>712</v>
      </c>
    </row>
    <row r="113" spans="1:16" s="10" customFormat="1" ht="120.75" thickBot="1" x14ac:dyDescent="0.25">
      <c r="B113" s="593" t="s">
        <v>319</v>
      </c>
      <c r="C113" s="193">
        <v>1200504</v>
      </c>
      <c r="D113" s="407" t="s">
        <v>91</v>
      </c>
      <c r="E113" s="157" t="s">
        <v>456</v>
      </c>
      <c r="F113" s="157" t="s">
        <v>650</v>
      </c>
      <c r="G113" s="408">
        <v>0.95</v>
      </c>
      <c r="H113" s="128"/>
      <c r="I113" s="318">
        <v>400.62700000000001</v>
      </c>
      <c r="J113" s="290">
        <v>72.271000000000001</v>
      </c>
      <c r="K113" s="290">
        <f>Table3[[#This Row],[CIP Funds (millions)]]-J113</f>
        <v>328.35599999999999</v>
      </c>
      <c r="L113" s="276" t="s">
        <v>629</v>
      </c>
      <c r="M113" s="276" t="s">
        <v>386</v>
      </c>
      <c r="N113" s="276" t="s">
        <v>724</v>
      </c>
      <c r="O113" s="130"/>
    </row>
    <row r="114" spans="1:16" s="10" customFormat="1" ht="75.75" thickBot="1" x14ac:dyDescent="0.25">
      <c r="B114" s="593"/>
      <c r="C114" s="10">
        <v>1200509</v>
      </c>
      <c r="D114" s="15" t="s">
        <v>85</v>
      </c>
      <c r="E114" s="206" t="s">
        <v>450</v>
      </c>
      <c r="F114" s="206" t="s">
        <v>651</v>
      </c>
      <c r="G114" s="408">
        <v>0.95</v>
      </c>
      <c r="H114" s="14"/>
      <c r="I114" s="311">
        <v>335.69099999999997</v>
      </c>
      <c r="J114" s="291">
        <v>58.119</v>
      </c>
      <c r="K114" s="291">
        <f>Table3[[#This Row],[CIP Funds (millions)]]-Table3[[#This Row],[TransNet Funds (millions)]]</f>
        <v>277.572</v>
      </c>
      <c r="L114" s="37" t="s">
        <v>117</v>
      </c>
      <c r="M114" s="37" t="s">
        <v>385</v>
      </c>
      <c r="N114" s="296" t="s">
        <v>726</v>
      </c>
      <c r="O114" s="115"/>
    </row>
    <row r="115" spans="1:16" ht="240.75" thickBot="1" x14ac:dyDescent="0.35">
      <c r="A115" s="10"/>
      <c r="B115" s="593"/>
      <c r="C115" s="10">
        <v>1200514</v>
      </c>
      <c r="D115" s="15" t="s">
        <v>89</v>
      </c>
      <c r="E115" s="532" t="s">
        <v>453</v>
      </c>
      <c r="F115" s="206" t="s">
        <v>452</v>
      </c>
      <c r="G115" s="408">
        <v>0</v>
      </c>
      <c r="H115" s="50"/>
      <c r="I115" s="311">
        <v>87</v>
      </c>
      <c r="J115" s="291">
        <v>3.15</v>
      </c>
      <c r="K115" s="291">
        <f>Table3[[#This Row],[CIP Funds (millions)]]-Table3[[#This Row],[TransNet Funds (millions)]]</f>
        <v>83.85</v>
      </c>
      <c r="L115" s="37" t="s">
        <v>349</v>
      </c>
      <c r="M115" s="37" t="s">
        <v>392</v>
      </c>
      <c r="N115" s="296" t="s">
        <v>725</v>
      </c>
      <c r="O115" s="122"/>
      <c r="P115" s="576"/>
    </row>
    <row r="116" spans="1:16" s="10" customFormat="1" ht="45.75" thickBot="1" x14ac:dyDescent="0.25">
      <c r="B116" s="593"/>
      <c r="C116" s="10">
        <v>1200515</v>
      </c>
      <c r="D116" s="15" t="s">
        <v>723</v>
      </c>
      <c r="E116" s="206" t="s">
        <v>454</v>
      </c>
      <c r="F116" s="206" t="s">
        <v>659</v>
      </c>
      <c r="G116" s="408">
        <f>0.05</f>
        <v>0.05</v>
      </c>
      <c r="H116" s="14"/>
      <c r="I116" s="311">
        <v>20.303000000000001</v>
      </c>
      <c r="J116" s="291">
        <v>1.9530000000000001</v>
      </c>
      <c r="K116" s="291">
        <f>Table3[[#This Row],[CIP Funds (millions)]]-Table3[[#This Row],[TransNet Funds (millions)]]</f>
        <v>18.350000000000001</v>
      </c>
      <c r="L116" s="37" t="s">
        <v>630</v>
      </c>
      <c r="M116" s="37" t="s">
        <v>6</v>
      </c>
      <c r="N116" s="37" t="s">
        <v>6</v>
      </c>
      <c r="O116" s="111" t="s">
        <v>373</v>
      </c>
    </row>
    <row r="117" spans="1:16" s="79" customFormat="1" ht="165.75" thickBot="1" x14ac:dyDescent="0.35">
      <c r="A117" s="397">
        <f>A108+1</f>
        <v>27</v>
      </c>
      <c r="B117" s="381"/>
      <c r="C117" s="200"/>
      <c r="D117" s="399" t="s">
        <v>249</v>
      </c>
      <c r="E117" s="230" t="s">
        <v>81</v>
      </c>
      <c r="F117" s="231" t="s">
        <v>250</v>
      </c>
      <c r="G117" s="298">
        <f>(0.33*G118)+(0.33*G119)*(0.33*G120)</f>
        <v>0.3135</v>
      </c>
      <c r="H117" s="68">
        <v>370</v>
      </c>
      <c r="I117" s="417"/>
      <c r="J117" s="361"/>
      <c r="K117" s="361"/>
      <c r="L117" s="156"/>
      <c r="M117" s="160" t="s">
        <v>386</v>
      </c>
      <c r="N117" s="156" t="s">
        <v>735</v>
      </c>
      <c r="O117" s="124"/>
    </row>
    <row r="118" spans="1:16" s="10" customFormat="1" ht="120.75" thickBot="1" x14ac:dyDescent="0.25">
      <c r="B118" s="593" t="s">
        <v>319</v>
      </c>
      <c r="C118" s="193">
        <v>1200504</v>
      </c>
      <c r="D118" s="407" t="s">
        <v>91</v>
      </c>
      <c r="E118" s="157" t="s">
        <v>457</v>
      </c>
      <c r="F118" s="157" t="s">
        <v>658</v>
      </c>
      <c r="G118" s="408">
        <v>0.95</v>
      </c>
      <c r="H118" s="128"/>
      <c r="I118" s="318">
        <v>400.62700000000001</v>
      </c>
      <c r="J118" s="290">
        <v>72.271000000000001</v>
      </c>
      <c r="K118" s="290">
        <f>Table3[[#This Row],[CIP Funds (millions)]]-Table3[[#This Row],[TransNet Funds (millions)]]</f>
        <v>328.35599999999999</v>
      </c>
      <c r="L118" s="276" t="s">
        <v>629</v>
      </c>
      <c r="M118" s="276" t="s">
        <v>386</v>
      </c>
      <c r="N118" s="276" t="s">
        <v>735</v>
      </c>
      <c r="O118" s="130"/>
    </row>
    <row r="119" spans="1:16" s="10" customFormat="1" ht="90.75" thickBot="1" x14ac:dyDescent="0.25">
      <c r="B119" s="593"/>
      <c r="C119" s="10">
        <v>1200510</v>
      </c>
      <c r="D119" s="15" t="s">
        <v>86</v>
      </c>
      <c r="E119" s="206" t="s">
        <v>458</v>
      </c>
      <c r="F119" s="206" t="s">
        <v>652</v>
      </c>
      <c r="G119" s="533">
        <v>0.85</v>
      </c>
      <c r="H119" s="14"/>
      <c r="I119" s="311">
        <v>190.16200000000001</v>
      </c>
      <c r="J119" s="291">
        <v>10.282</v>
      </c>
      <c r="K119" s="291">
        <f>Table3[[#This Row],[CIP Funds (millions)]]-Table3[[#This Row],[TransNet Funds (millions)]]</f>
        <v>179.88</v>
      </c>
      <c r="L119" s="37" t="s">
        <v>738</v>
      </c>
      <c r="M119" s="37" t="s">
        <v>387</v>
      </c>
      <c r="N119" s="37" t="s">
        <v>736</v>
      </c>
      <c r="O119" s="115"/>
    </row>
    <row r="120" spans="1:16" s="10" customFormat="1" ht="75.75" thickBot="1" x14ac:dyDescent="0.25">
      <c r="B120" s="594"/>
      <c r="C120" s="10">
        <v>1200516</v>
      </c>
      <c r="D120" s="65" t="s">
        <v>92</v>
      </c>
      <c r="E120" s="501" t="s">
        <v>459</v>
      </c>
      <c r="F120" s="502" t="s">
        <v>653</v>
      </c>
      <c r="G120" s="441">
        <v>0</v>
      </c>
      <c r="H120" s="63"/>
      <c r="I120" s="319">
        <v>11.266</v>
      </c>
      <c r="J120" s="320">
        <v>0.1</v>
      </c>
      <c r="K120" s="320">
        <f>Table3[[#This Row],[CIP Funds (millions)]]-Table3[[#This Row],[TransNet Funds (millions)]]</f>
        <v>11.166</v>
      </c>
      <c r="L120" s="296" t="s">
        <v>414</v>
      </c>
      <c r="M120" s="296" t="s">
        <v>388</v>
      </c>
      <c r="N120" s="296" t="s">
        <v>737</v>
      </c>
      <c r="O120" s="111"/>
    </row>
    <row r="121" spans="1:16" s="79" customFormat="1" ht="30.75" thickBot="1" x14ac:dyDescent="0.35">
      <c r="A121" s="397">
        <f>A117+1</f>
        <v>28</v>
      </c>
      <c r="B121" s="381"/>
      <c r="C121" s="200"/>
      <c r="D121" s="58" t="s">
        <v>251</v>
      </c>
      <c r="E121" s="230" t="s">
        <v>252</v>
      </c>
      <c r="F121" s="231" t="s">
        <v>654</v>
      </c>
      <c r="G121" s="57">
        <v>0</v>
      </c>
      <c r="H121" s="68">
        <v>180</v>
      </c>
      <c r="I121" s="359">
        <v>0</v>
      </c>
      <c r="J121" s="360">
        <v>0</v>
      </c>
      <c r="K121" s="360">
        <v>0</v>
      </c>
      <c r="L121" s="160" t="s">
        <v>307</v>
      </c>
      <c r="M121" s="160" t="s">
        <v>384</v>
      </c>
      <c r="N121" s="160" t="s">
        <v>747</v>
      </c>
      <c r="O121" s="124"/>
    </row>
    <row r="122" spans="1:16" s="77" customFormat="1" ht="30.75" thickBot="1" x14ac:dyDescent="0.35">
      <c r="A122" s="40">
        <f t="shared" si="0"/>
        <v>29</v>
      </c>
      <c r="B122" s="163"/>
      <c r="C122" s="199"/>
      <c r="D122" s="43" t="s">
        <v>253</v>
      </c>
      <c r="E122" s="225" t="s">
        <v>93</v>
      </c>
      <c r="F122" s="226" t="s">
        <v>254</v>
      </c>
      <c r="G122" s="41">
        <f>0.05+0.1</f>
        <v>0.15000000000000002</v>
      </c>
      <c r="H122" s="42">
        <v>140</v>
      </c>
      <c r="I122" s="352"/>
      <c r="J122" s="355"/>
      <c r="K122" s="355"/>
      <c r="L122" s="45"/>
      <c r="M122" s="44" t="s">
        <v>334</v>
      </c>
      <c r="N122" s="44" t="s">
        <v>739</v>
      </c>
      <c r="O122" s="121"/>
    </row>
    <row r="123" spans="1:16" ht="60.75" thickBot="1" x14ac:dyDescent="0.35">
      <c r="A123" s="10"/>
      <c r="B123" s="164" t="s">
        <v>318</v>
      </c>
      <c r="C123" s="10">
        <v>1200503</v>
      </c>
      <c r="D123" s="64" t="s">
        <v>93</v>
      </c>
      <c r="E123" s="502" t="s">
        <v>171</v>
      </c>
      <c r="F123" s="502" t="s">
        <v>309</v>
      </c>
      <c r="G123" s="240">
        <v>1</v>
      </c>
      <c r="H123" s="86"/>
      <c r="I123" s="319">
        <v>12.513</v>
      </c>
      <c r="J123" s="320">
        <v>0.46276499999999998</v>
      </c>
      <c r="K123" s="320">
        <f>Table3[[#This Row],[CIP Funds (millions)]]-Table3[[#This Row],[TransNet Funds (millions)]]</f>
        <v>12.050235000000001</v>
      </c>
      <c r="L123" s="296" t="s">
        <v>741</v>
      </c>
      <c r="M123" s="296" t="s">
        <v>334</v>
      </c>
      <c r="N123" s="296" t="s">
        <v>739</v>
      </c>
      <c r="O123" s="52"/>
    </row>
    <row r="124" spans="1:16" s="396" customFormat="1" ht="60.75" thickBot="1" x14ac:dyDescent="0.3">
      <c r="A124" s="261"/>
      <c r="B124" s="269" t="s">
        <v>319</v>
      </c>
      <c r="C124" s="262" t="s">
        <v>310</v>
      </c>
      <c r="D124" s="274" t="s">
        <v>93</v>
      </c>
      <c r="E124" s="534" t="s">
        <v>171</v>
      </c>
      <c r="F124" s="534" t="s">
        <v>308</v>
      </c>
      <c r="G124" s="272">
        <v>0</v>
      </c>
      <c r="H124" s="442"/>
      <c r="I124" s="443">
        <v>0</v>
      </c>
      <c r="J124" s="444">
        <v>0</v>
      </c>
      <c r="K124" s="444">
        <f>Table3[[#This Row],[CIP Funds (millions)]]-Table3[[#This Row],[TransNet Funds (millions)]]</f>
        <v>0</v>
      </c>
      <c r="L124" s="305" t="s">
        <v>307</v>
      </c>
      <c r="M124" s="305" t="s">
        <v>334</v>
      </c>
      <c r="N124" s="305" t="s">
        <v>739</v>
      </c>
      <c r="O124" s="446"/>
    </row>
    <row r="125" spans="1:16" s="79" customFormat="1" ht="75.75" thickBot="1" x14ac:dyDescent="0.35">
      <c r="A125" s="56">
        <f>A122+1</f>
        <v>30</v>
      </c>
      <c r="B125" s="381"/>
      <c r="C125" s="200"/>
      <c r="D125" s="58" t="s">
        <v>255</v>
      </c>
      <c r="E125" s="230" t="s">
        <v>257</v>
      </c>
      <c r="F125" s="231" t="s">
        <v>256</v>
      </c>
      <c r="G125" s="57">
        <f>0.05+(0.1*G126)</f>
        <v>6.0000000000000005E-2</v>
      </c>
      <c r="H125" s="68">
        <v>150</v>
      </c>
      <c r="I125" s="359"/>
      <c r="J125" s="360"/>
      <c r="K125" s="360"/>
      <c r="L125" s="156"/>
      <c r="M125" s="160" t="s">
        <v>383</v>
      </c>
      <c r="N125" s="160" t="s">
        <v>740</v>
      </c>
      <c r="O125" s="124"/>
    </row>
    <row r="126" spans="1:16" s="10" customFormat="1" ht="75" x14ac:dyDescent="0.2">
      <c r="B126" s="592" t="s">
        <v>319</v>
      </c>
      <c r="C126" s="10">
        <v>1207803</v>
      </c>
      <c r="D126" s="446" t="s">
        <v>311</v>
      </c>
      <c r="E126" s="158" t="s">
        <v>312</v>
      </c>
      <c r="F126" s="206" t="s">
        <v>660</v>
      </c>
      <c r="G126" s="99">
        <v>0.1</v>
      </c>
      <c r="H126" s="91"/>
      <c r="I126" s="291">
        <v>66.117999999999995</v>
      </c>
      <c r="J126" s="291">
        <v>16.117999999999999</v>
      </c>
      <c r="K126" s="291">
        <f>Table3[[#This Row],[CIP Funds (millions)]]-Table3[[#This Row],[TransNet Funds (millions)]]</f>
        <v>50</v>
      </c>
      <c r="L126" s="296" t="s">
        <v>461</v>
      </c>
      <c r="M126" s="296" t="s">
        <v>383</v>
      </c>
      <c r="N126" s="296" t="s">
        <v>740</v>
      </c>
      <c r="O126" s="111"/>
    </row>
    <row r="127" spans="1:16" s="10" customFormat="1" ht="75.75" thickBot="1" x14ac:dyDescent="0.25">
      <c r="B127" s="594"/>
      <c r="C127" s="201" t="s">
        <v>310</v>
      </c>
      <c r="D127" s="37" t="s">
        <v>460</v>
      </c>
      <c r="E127" s="157" t="s">
        <v>312</v>
      </c>
      <c r="F127" s="157" t="s">
        <v>661</v>
      </c>
      <c r="G127" s="12">
        <v>0</v>
      </c>
      <c r="H127" s="13"/>
      <c r="I127" s="72">
        <v>0</v>
      </c>
      <c r="J127" s="72">
        <v>0</v>
      </c>
      <c r="K127" s="13">
        <f>Table3[[#This Row],[CIP Funds (millions)]]-Table3[[#This Row],[TransNet Funds (millions)]]</f>
        <v>0</v>
      </c>
      <c r="L127" s="37" t="s">
        <v>742</v>
      </c>
      <c r="M127" s="37" t="s">
        <v>383</v>
      </c>
      <c r="N127" s="37" t="s">
        <v>740</v>
      </c>
      <c r="O127" s="15"/>
    </row>
    <row r="128" spans="1:16" s="79" customFormat="1" ht="165.75" thickBot="1" x14ac:dyDescent="0.35">
      <c r="A128" s="56">
        <f>A125+1</f>
        <v>31</v>
      </c>
      <c r="B128" s="381"/>
      <c r="C128" s="200"/>
      <c r="D128" s="58" t="s">
        <v>258</v>
      </c>
      <c r="E128" s="230" t="s">
        <v>260</v>
      </c>
      <c r="F128" s="231" t="s">
        <v>259</v>
      </c>
      <c r="G128" s="298">
        <f>(9*0.05*G129)+(0.05*G139)+(0.05*G140)+(0.05*G141)+(0.05*G142)+(0.05*G143)+(0.15*G144)+(0.05*G146)+(0.05*G147)+(0.05*G149)</f>
        <v>0.65987499999999999</v>
      </c>
      <c r="H128" s="68">
        <f>400+170</f>
        <v>570</v>
      </c>
      <c r="I128" s="359"/>
      <c r="J128" s="360"/>
      <c r="K128" s="360"/>
      <c r="L128" s="156"/>
      <c r="M128" s="160" t="s">
        <v>390</v>
      </c>
      <c r="N128" s="160" t="s">
        <v>389</v>
      </c>
      <c r="O128" s="124"/>
    </row>
    <row r="129" spans="1:15" s="10" customFormat="1" ht="45" x14ac:dyDescent="0.3">
      <c r="B129" s="596" t="s">
        <v>318</v>
      </c>
      <c r="C129" s="10">
        <v>1239801</v>
      </c>
      <c r="D129" s="446" t="s">
        <v>94</v>
      </c>
      <c r="E129" s="158" t="s">
        <v>463</v>
      </c>
      <c r="F129" s="206" t="s">
        <v>462</v>
      </c>
      <c r="G129" s="99">
        <v>1</v>
      </c>
      <c r="H129" s="85"/>
      <c r="I129" s="358">
        <v>45.161000000000001</v>
      </c>
      <c r="J129" s="358">
        <v>31.161000000000001</v>
      </c>
      <c r="K129" s="358">
        <f>Table3[[#This Row],[CIP Funds (millions)]]-Table3[[#This Row],[TransNet Funds (millions)]]</f>
        <v>14</v>
      </c>
      <c r="L129" s="296"/>
      <c r="M129" s="296" t="s">
        <v>6</v>
      </c>
      <c r="N129" s="296" t="s">
        <v>6</v>
      </c>
      <c r="O129" s="111" t="s">
        <v>667</v>
      </c>
    </row>
    <row r="130" spans="1:15" s="10" customFormat="1" ht="45" x14ac:dyDescent="0.3">
      <c r="B130" s="597"/>
      <c r="C130" s="10">
        <v>1239803</v>
      </c>
      <c r="D130" s="446" t="s">
        <v>95</v>
      </c>
      <c r="E130" s="206" t="s">
        <v>465</v>
      </c>
      <c r="F130" s="206" t="s">
        <v>464</v>
      </c>
      <c r="G130" s="99">
        <v>1</v>
      </c>
      <c r="H130" s="85"/>
      <c r="I130" s="358">
        <v>28.327999999999999</v>
      </c>
      <c r="J130" s="358">
        <v>20.952999999999999</v>
      </c>
      <c r="K130" s="358">
        <f>Table3[[#This Row],[CIP Funds (millions)]]-Table3[[#This Row],[TransNet Funds (millions)]]</f>
        <v>7.375</v>
      </c>
      <c r="L130" s="296"/>
      <c r="M130" s="296" t="s">
        <v>6</v>
      </c>
      <c r="N130" s="296" t="s">
        <v>6</v>
      </c>
      <c r="O130" s="446" t="s">
        <v>693</v>
      </c>
    </row>
    <row r="131" spans="1:15" s="10" customFormat="1" ht="45" x14ac:dyDescent="0.2">
      <c r="B131" s="597"/>
      <c r="C131" s="10">
        <v>1239804</v>
      </c>
      <c r="D131" s="446" t="s">
        <v>96</v>
      </c>
      <c r="E131" s="139" t="s">
        <v>467</v>
      </c>
      <c r="F131" s="206" t="s">
        <v>466</v>
      </c>
      <c r="G131" s="99">
        <v>1</v>
      </c>
      <c r="H131" s="91"/>
      <c r="I131" s="291">
        <v>20.2</v>
      </c>
      <c r="J131" s="291">
        <v>0.22600000000000001</v>
      </c>
      <c r="K131" s="291">
        <f>Table3[[#This Row],[CIP Funds (millions)]]-Table3[[#This Row],[TransNet Funds (millions)]]</f>
        <v>19.974</v>
      </c>
      <c r="L131" s="296" t="s">
        <v>468</v>
      </c>
      <c r="M131" s="296" t="s">
        <v>6</v>
      </c>
      <c r="N131" s="296" t="s">
        <v>6</v>
      </c>
      <c r="O131" s="111" t="s">
        <v>667</v>
      </c>
    </row>
    <row r="132" spans="1:15" s="10" customFormat="1" ht="45" x14ac:dyDescent="0.2">
      <c r="B132" s="597"/>
      <c r="C132" s="10">
        <v>1239805</v>
      </c>
      <c r="D132" s="446" t="s">
        <v>97</v>
      </c>
      <c r="E132" s="158" t="s">
        <v>172</v>
      </c>
      <c r="F132" s="158" t="s">
        <v>469</v>
      </c>
      <c r="G132" s="99">
        <v>1</v>
      </c>
      <c r="H132" s="82"/>
      <c r="I132" s="311">
        <v>36.881</v>
      </c>
      <c r="J132" s="291">
        <v>17.963999999999999</v>
      </c>
      <c r="K132" s="291">
        <f>Table3[[#This Row],[CIP Funds (millions)]]-Table3[[#This Row],[TransNet Funds (millions)]]</f>
        <v>18.917000000000002</v>
      </c>
      <c r="L132" s="296"/>
      <c r="M132" s="296" t="s">
        <v>6</v>
      </c>
      <c r="N132" s="296" t="s">
        <v>6</v>
      </c>
      <c r="O132" s="446" t="s">
        <v>693</v>
      </c>
    </row>
    <row r="133" spans="1:15" s="10" customFormat="1" ht="60" x14ac:dyDescent="0.2">
      <c r="B133" s="597"/>
      <c r="C133" s="10">
        <v>1239806</v>
      </c>
      <c r="D133" s="446" t="s">
        <v>98</v>
      </c>
      <c r="E133" s="158" t="s">
        <v>173</v>
      </c>
      <c r="F133" s="158" t="s">
        <v>174</v>
      </c>
      <c r="G133" s="299">
        <v>1</v>
      </c>
      <c r="H133" s="447"/>
      <c r="I133" s="311">
        <v>77.787000000000006</v>
      </c>
      <c r="J133" s="291">
        <f>8.29+15.740903</f>
        <v>24.030902999999999</v>
      </c>
      <c r="K133" s="291">
        <f>Table3[[#This Row],[CIP Funds (millions)]]-Table3[[#This Row],[TransNet Funds (millions)]]</f>
        <v>53.756097000000011</v>
      </c>
      <c r="L133" s="296"/>
      <c r="M133" s="296" t="s">
        <v>6</v>
      </c>
      <c r="N133" s="296" t="s">
        <v>6</v>
      </c>
      <c r="O133" s="446" t="s">
        <v>693</v>
      </c>
    </row>
    <row r="134" spans="1:15" s="10" customFormat="1" ht="45" x14ac:dyDescent="0.2">
      <c r="B134" s="597"/>
      <c r="C134" s="101">
        <v>1239808</v>
      </c>
      <c r="D134" s="446" t="s">
        <v>100</v>
      </c>
      <c r="E134" s="139" t="s">
        <v>473</v>
      </c>
      <c r="F134" s="206" t="s">
        <v>472</v>
      </c>
      <c r="G134" s="299">
        <v>1</v>
      </c>
      <c r="H134" s="312"/>
      <c r="I134" s="291">
        <v>8.9550000000000001</v>
      </c>
      <c r="J134" s="291">
        <v>2.145</v>
      </c>
      <c r="K134" s="291">
        <f>Table3[[#This Row],[CIP Funds (millions)]]-Table3[[#This Row],[TransNet Funds (millions)]]</f>
        <v>6.8100000000000005</v>
      </c>
      <c r="L134" s="296"/>
      <c r="M134" s="296" t="s">
        <v>6</v>
      </c>
      <c r="N134" s="296" t="s">
        <v>6</v>
      </c>
      <c r="O134" s="111" t="s">
        <v>667</v>
      </c>
    </row>
    <row r="135" spans="1:15" s="10" customFormat="1" ht="45" x14ac:dyDescent="0.3">
      <c r="B135" s="597"/>
      <c r="C135" s="10">
        <v>1239815</v>
      </c>
      <c r="D135" s="446" t="s">
        <v>107</v>
      </c>
      <c r="E135" s="206" t="s">
        <v>479</v>
      </c>
      <c r="F135" s="206" t="s">
        <v>197</v>
      </c>
      <c r="G135" s="99">
        <v>1</v>
      </c>
      <c r="H135" s="85"/>
      <c r="I135" s="291">
        <v>91.745999999999995</v>
      </c>
      <c r="J135" s="291">
        <v>12.646274999999999</v>
      </c>
      <c r="K135" s="291">
        <f>Table3[[#This Row],[CIP Funds (millions)]]-Table3[[#This Row],[TransNet Funds (millions)]]</f>
        <v>79.099724999999992</v>
      </c>
      <c r="L135" s="296"/>
      <c r="M135" s="296" t="s">
        <v>6</v>
      </c>
      <c r="N135" s="296" t="s">
        <v>6</v>
      </c>
      <c r="O135" s="446" t="s">
        <v>693</v>
      </c>
    </row>
    <row r="136" spans="1:15" s="10" customFormat="1" ht="75" x14ac:dyDescent="0.3">
      <c r="B136" s="597"/>
      <c r="C136" s="10">
        <v>1239817</v>
      </c>
      <c r="D136" s="446" t="s">
        <v>109</v>
      </c>
      <c r="E136" s="206" t="s">
        <v>483</v>
      </c>
      <c r="F136" s="206" t="s">
        <v>482</v>
      </c>
      <c r="G136" s="99">
        <v>1</v>
      </c>
      <c r="H136" s="85"/>
      <c r="I136" s="291">
        <v>7.1139999999999999</v>
      </c>
      <c r="J136" s="291">
        <f>0.486+2.237258+2.154159</f>
        <v>4.8774170000000003</v>
      </c>
      <c r="K136" s="291">
        <f>Table3[[#This Row],[CIP Funds (millions)]]-Table3[[#This Row],[TransNet Funds (millions)]]</f>
        <v>2.2365829999999995</v>
      </c>
      <c r="L136" s="296"/>
      <c r="M136" s="296" t="s">
        <v>6</v>
      </c>
      <c r="N136" s="296" t="s">
        <v>6</v>
      </c>
      <c r="O136" s="446" t="s">
        <v>693</v>
      </c>
    </row>
    <row r="137" spans="1:15" s="10" customFormat="1" ht="45" x14ac:dyDescent="0.2">
      <c r="B137" s="597"/>
      <c r="C137" s="10">
        <v>1239820</v>
      </c>
      <c r="D137" s="446" t="s">
        <v>111</v>
      </c>
      <c r="E137" s="158" t="s">
        <v>185</v>
      </c>
      <c r="F137" s="158" t="s">
        <v>186</v>
      </c>
      <c r="G137" s="299">
        <v>1</v>
      </c>
      <c r="H137" s="82"/>
      <c r="I137" s="311">
        <v>58.8</v>
      </c>
      <c r="J137" s="291">
        <v>25</v>
      </c>
      <c r="K137" s="291">
        <f>Table3[[#This Row],[CIP Funds (millions)]]-Table3[[#This Row],[TransNet Funds (millions)]]</f>
        <v>33.799999999999997</v>
      </c>
      <c r="L137" s="296"/>
      <c r="M137" s="296" t="s">
        <v>743</v>
      </c>
      <c r="N137" s="296" t="s">
        <v>389</v>
      </c>
      <c r="O137" s="111"/>
    </row>
    <row r="138" spans="1:15" s="364" customFormat="1" ht="60.75" thickBot="1" x14ac:dyDescent="0.35">
      <c r="B138" s="598"/>
      <c r="C138" s="364">
        <v>1239821</v>
      </c>
      <c r="D138" s="574" t="s">
        <v>112</v>
      </c>
      <c r="E138" s="523" t="s">
        <v>485</v>
      </c>
      <c r="F138" s="523" t="s">
        <v>198</v>
      </c>
      <c r="G138" s="458">
        <v>1</v>
      </c>
      <c r="H138" s="459"/>
      <c r="I138" s="403">
        <v>5.0199999999999996</v>
      </c>
      <c r="J138" s="403">
        <v>1.02</v>
      </c>
      <c r="K138" s="403">
        <f>Table3[[#This Row],[CIP Funds (millions)]]-Table3[[#This Row],[TransNet Funds (millions)]]</f>
        <v>3.9999999999999996</v>
      </c>
      <c r="L138" s="437" t="s">
        <v>486</v>
      </c>
      <c r="M138" s="437" t="s">
        <v>744</v>
      </c>
      <c r="N138" s="296" t="s">
        <v>389</v>
      </c>
      <c r="O138" s="438"/>
    </row>
    <row r="139" spans="1:15" s="10" customFormat="1" ht="60" x14ac:dyDescent="0.2">
      <c r="B139" s="595" t="s">
        <v>319</v>
      </c>
      <c r="C139" s="10">
        <v>1239807</v>
      </c>
      <c r="D139" s="270" t="s">
        <v>99</v>
      </c>
      <c r="E139" s="227" t="s">
        <v>471</v>
      </c>
      <c r="F139" s="227" t="s">
        <v>470</v>
      </c>
      <c r="G139" s="293">
        <v>0.95</v>
      </c>
      <c r="H139" s="457"/>
      <c r="I139" s="207">
        <v>32.813000000000002</v>
      </c>
      <c r="J139" s="208">
        <v>3.7240000000000002</v>
      </c>
      <c r="K139" s="208">
        <f>Table3[[#This Row],[CIP Funds (millions)]]-Table3[[#This Row],[TransNet Funds (millions)]]</f>
        <v>29.089000000000002</v>
      </c>
      <c r="L139" s="276" t="s">
        <v>675</v>
      </c>
      <c r="M139" s="296" t="s">
        <v>743</v>
      </c>
      <c r="N139" s="288" t="s">
        <v>389</v>
      </c>
      <c r="O139" s="130"/>
    </row>
    <row r="140" spans="1:15" s="10" customFormat="1" ht="60" x14ac:dyDescent="0.2">
      <c r="B140" s="593"/>
      <c r="C140" s="10">
        <v>1239809</v>
      </c>
      <c r="D140" s="446" t="s">
        <v>101</v>
      </c>
      <c r="E140" s="158" t="s">
        <v>474</v>
      </c>
      <c r="F140" s="158" t="s">
        <v>475</v>
      </c>
      <c r="G140" s="299">
        <f>0.05+(0.1*0.95)</f>
        <v>0.14500000000000002</v>
      </c>
      <c r="H140" s="447"/>
      <c r="I140" s="311">
        <v>37.091999999999999</v>
      </c>
      <c r="J140" s="291">
        <v>4.8250000000000002</v>
      </c>
      <c r="K140" s="291">
        <f>Table3[[#This Row],[CIP Funds (millions)]]-Table3[[#This Row],[TransNet Funds (millions)]]</f>
        <v>32.266999999999996</v>
      </c>
      <c r="L140" s="296" t="s">
        <v>745</v>
      </c>
      <c r="M140" s="296" t="s">
        <v>744</v>
      </c>
      <c r="N140" s="296" t="s">
        <v>389</v>
      </c>
      <c r="O140" s="111"/>
    </row>
    <row r="141" spans="1:15" s="10" customFormat="1" ht="75" x14ac:dyDescent="0.2">
      <c r="B141" s="593"/>
      <c r="C141" s="10">
        <v>1239810</v>
      </c>
      <c r="D141" s="296" t="s">
        <v>102</v>
      </c>
      <c r="E141" s="157" t="s">
        <v>175</v>
      </c>
      <c r="F141" s="157" t="s">
        <v>176</v>
      </c>
      <c r="G141" s="299">
        <f>0.05+0.1+(0.3*0.25)</f>
        <v>0.22500000000000003</v>
      </c>
      <c r="H141" s="448"/>
      <c r="I141" s="318">
        <v>2.7330000000000001</v>
      </c>
      <c r="J141" s="290">
        <v>2.3530000000000002</v>
      </c>
      <c r="K141" s="291">
        <f>Table3[[#This Row],[CIP Funds (millions)]]-Table3[[#This Row],[TransNet Funds (millions)]]</f>
        <v>0.37999999999999989</v>
      </c>
      <c r="L141" s="296" t="s">
        <v>748</v>
      </c>
      <c r="M141" s="296" t="s">
        <v>744</v>
      </c>
      <c r="N141" s="296" t="s">
        <v>389</v>
      </c>
      <c r="O141" s="111"/>
    </row>
    <row r="142" spans="1:15" s="10" customFormat="1" ht="60" x14ac:dyDescent="0.2">
      <c r="B142" s="593"/>
      <c r="C142" s="10">
        <v>1239811</v>
      </c>
      <c r="D142" s="296" t="s">
        <v>103</v>
      </c>
      <c r="E142" s="502" t="s">
        <v>477</v>
      </c>
      <c r="F142" s="502" t="s">
        <v>476</v>
      </c>
      <c r="G142" s="317">
        <v>0.95</v>
      </c>
      <c r="H142" s="86"/>
      <c r="I142" s="319">
        <v>185.22900000000001</v>
      </c>
      <c r="J142" s="320">
        <v>39.194000000000003</v>
      </c>
      <c r="K142" s="320">
        <f>Table3[[#This Row],[CIP Funds (millions)]]-Table3[[#This Row],[TransNet Funds (millions)]]</f>
        <v>146.03500000000003</v>
      </c>
      <c r="L142" s="296" t="s">
        <v>675</v>
      </c>
      <c r="M142" s="296" t="s">
        <v>743</v>
      </c>
      <c r="N142" s="296" t="s">
        <v>389</v>
      </c>
      <c r="O142" s="111"/>
    </row>
    <row r="143" spans="1:15" s="449" customFormat="1" ht="45" x14ac:dyDescent="0.2">
      <c r="A143" s="10"/>
      <c r="B143" s="593"/>
      <c r="C143" s="456">
        <v>1239812</v>
      </c>
      <c r="D143" s="454" t="s">
        <v>104</v>
      </c>
      <c r="E143" s="535" t="s">
        <v>177</v>
      </c>
      <c r="F143" s="535" t="s">
        <v>178</v>
      </c>
      <c r="G143" s="577">
        <f>0.05+0.1+(0.25*0.9)</f>
        <v>0.375</v>
      </c>
      <c r="H143" s="450"/>
      <c r="I143" s="451">
        <v>30.34</v>
      </c>
      <c r="J143" s="452">
        <v>13.018000000000001</v>
      </c>
      <c r="K143" s="453">
        <f>Table3[[#This Row],[CIP Funds (millions)]]-Table3[[#This Row],[TransNet Funds (millions)]]</f>
        <v>17.321999999999999</v>
      </c>
      <c r="L143" s="454" t="s">
        <v>749</v>
      </c>
      <c r="M143" s="454" t="s">
        <v>746</v>
      </c>
      <c r="N143" s="454" t="s">
        <v>389</v>
      </c>
      <c r="O143" s="455"/>
    </row>
    <row r="144" spans="1:15" s="10" customFormat="1" ht="135" x14ac:dyDescent="0.2">
      <c r="B144" s="593"/>
      <c r="C144" s="10">
        <v>1239813</v>
      </c>
      <c r="D144" s="296" t="s">
        <v>105</v>
      </c>
      <c r="E144" s="502" t="s">
        <v>179</v>
      </c>
      <c r="F144" s="502" t="s">
        <v>478</v>
      </c>
      <c r="G144" s="317">
        <f>0.05+0.1+(0.25*0.75)</f>
        <v>0.33750000000000002</v>
      </c>
      <c r="H144" s="86"/>
      <c r="I144" s="319">
        <v>29.696999999999999</v>
      </c>
      <c r="J144" s="320">
        <v>8.5860000000000003</v>
      </c>
      <c r="K144" s="291">
        <f>Table3[[#This Row],[CIP Funds (millions)]]-Table3[[#This Row],[TransNet Funds (millions)]]</f>
        <v>21.110999999999997</v>
      </c>
      <c r="L144" s="296" t="s">
        <v>751</v>
      </c>
      <c r="M144" s="296" t="s">
        <v>744</v>
      </c>
      <c r="N144" s="296" t="s">
        <v>389</v>
      </c>
      <c r="O144" s="111"/>
    </row>
    <row r="145" spans="1:15" s="10" customFormat="1" ht="90" x14ac:dyDescent="0.2">
      <c r="B145" s="593"/>
      <c r="C145" s="10">
        <v>1239814</v>
      </c>
      <c r="D145" s="446" t="s">
        <v>106</v>
      </c>
      <c r="E145" s="158" t="s">
        <v>180</v>
      </c>
      <c r="F145" s="158" t="s">
        <v>181</v>
      </c>
      <c r="G145" s="299">
        <v>0.8</v>
      </c>
      <c r="H145" s="82"/>
      <c r="I145" s="311">
        <v>1.724</v>
      </c>
      <c r="J145" s="291">
        <v>1.724</v>
      </c>
      <c r="K145" s="291">
        <f>Table3[[#This Row],[CIP Funds (millions)]]-Table3[[#This Row],[TransNet Funds (millions)]]</f>
        <v>0</v>
      </c>
      <c r="L145" s="296" t="s">
        <v>750</v>
      </c>
      <c r="M145" s="296" t="s">
        <v>743</v>
      </c>
      <c r="N145" s="296" t="s">
        <v>389</v>
      </c>
      <c r="O145" s="111"/>
    </row>
    <row r="146" spans="1:15" s="10" customFormat="1" ht="45" x14ac:dyDescent="0.2">
      <c r="B146" s="593"/>
      <c r="C146" s="10">
        <v>1239816</v>
      </c>
      <c r="D146" s="446" t="s">
        <v>108</v>
      </c>
      <c r="E146" s="158" t="s">
        <v>480</v>
      </c>
      <c r="F146" s="158" t="s">
        <v>182</v>
      </c>
      <c r="G146" s="299">
        <f>0.05+0.1+0.25</f>
        <v>0.4</v>
      </c>
      <c r="H146" s="82"/>
      <c r="I146" s="311">
        <v>165.62700000000001</v>
      </c>
      <c r="J146" s="291">
        <v>46.576999999999998</v>
      </c>
      <c r="K146" s="291">
        <f>Table3[[#This Row],[CIP Funds (millions)]]-Table3[[#This Row],[TransNet Funds (millions)]]</f>
        <v>119.05000000000001</v>
      </c>
      <c r="L146" s="296" t="s">
        <v>481</v>
      </c>
      <c r="M146" s="296" t="s">
        <v>744</v>
      </c>
      <c r="N146" s="296" t="s">
        <v>389</v>
      </c>
      <c r="O146" s="111"/>
    </row>
    <row r="147" spans="1:15" s="10" customFormat="1" ht="60" x14ac:dyDescent="0.2">
      <c r="B147" s="593"/>
      <c r="C147" s="10">
        <v>1239819</v>
      </c>
      <c r="D147" s="446" t="s">
        <v>110</v>
      </c>
      <c r="E147" s="158" t="s">
        <v>183</v>
      </c>
      <c r="F147" s="158" t="s">
        <v>184</v>
      </c>
      <c r="G147" s="299">
        <v>0.05</v>
      </c>
      <c r="H147" s="82"/>
      <c r="I147" s="311">
        <v>21.181000000000001</v>
      </c>
      <c r="J147" s="291">
        <v>0.1076</v>
      </c>
      <c r="K147" s="291">
        <f>Table3[[#This Row],[CIP Funds (millions)]]-Table3[[#This Row],[TransNet Funds (millions)]]</f>
        <v>21.073399999999999</v>
      </c>
      <c r="L147" s="296" t="s">
        <v>484</v>
      </c>
      <c r="M147" s="296" t="s">
        <v>744</v>
      </c>
      <c r="N147" s="296" t="s">
        <v>389</v>
      </c>
      <c r="O147" s="111"/>
    </row>
    <row r="148" spans="1:15" s="10" customFormat="1" ht="60" x14ac:dyDescent="0.2">
      <c r="B148" s="593"/>
      <c r="C148" s="10">
        <v>1239822</v>
      </c>
      <c r="D148" s="446" t="s">
        <v>113</v>
      </c>
      <c r="E148" s="158" t="s">
        <v>488</v>
      </c>
      <c r="F148" s="158" t="s">
        <v>487</v>
      </c>
      <c r="G148" s="299">
        <v>0</v>
      </c>
      <c r="H148" s="82"/>
      <c r="I148" s="311">
        <v>62.328000000000003</v>
      </c>
      <c r="J148" s="291">
        <v>6</v>
      </c>
      <c r="K148" s="291">
        <f>Table3[[#This Row],[CIP Funds (millions)]]-Table3[[#This Row],[TransNet Funds (millions)]]</f>
        <v>56.328000000000003</v>
      </c>
      <c r="L148" s="296" t="s">
        <v>489</v>
      </c>
      <c r="M148" s="296" t="s">
        <v>744</v>
      </c>
      <c r="N148" s="296" t="s">
        <v>389</v>
      </c>
      <c r="O148" s="111"/>
    </row>
    <row r="149" spans="1:15" s="10" customFormat="1" ht="90" x14ac:dyDescent="0.2">
      <c r="B149" s="593"/>
      <c r="C149" s="10">
        <v>1239823</v>
      </c>
      <c r="D149" s="296" t="s">
        <v>114</v>
      </c>
      <c r="E149" s="157" t="s">
        <v>491</v>
      </c>
      <c r="F149" s="157" t="s">
        <v>490</v>
      </c>
      <c r="G149" s="299">
        <f>0.05+(0.4*0.1)</f>
        <v>9.0000000000000011E-2</v>
      </c>
      <c r="H149" s="112"/>
      <c r="I149" s="318">
        <v>302.71800000000002</v>
      </c>
      <c r="J149" s="290">
        <v>2.718</v>
      </c>
      <c r="K149" s="291">
        <f>Table3[[#This Row],[CIP Funds (millions)]]-Table3[[#This Row],[TransNet Funds (millions)]]</f>
        <v>300</v>
      </c>
      <c r="L149" s="296" t="s">
        <v>492</v>
      </c>
      <c r="M149" s="296" t="s">
        <v>744</v>
      </c>
      <c r="N149" s="296" t="s">
        <v>389</v>
      </c>
      <c r="O149" s="111"/>
    </row>
    <row r="150" spans="1:15" s="17" customFormat="1" ht="90.75" thickBot="1" x14ac:dyDescent="0.25">
      <c r="B150" s="594"/>
      <c r="C150" s="17">
        <v>1239824</v>
      </c>
      <c r="D150" s="33" t="s">
        <v>115</v>
      </c>
      <c r="E150" s="222" t="s">
        <v>494</v>
      </c>
      <c r="F150" s="222" t="s">
        <v>493</v>
      </c>
      <c r="G150" s="187">
        <v>0</v>
      </c>
      <c r="H150" s="80"/>
      <c r="I150" s="211">
        <v>255.809</v>
      </c>
      <c r="J150" s="212">
        <v>8.8439999999999994</v>
      </c>
      <c r="K150" s="291">
        <f>Table3[[#This Row],[CIP Funds (millions)]]-Table3[[#This Row],[TransNet Funds (millions)]]</f>
        <v>246.965</v>
      </c>
      <c r="L150" s="33" t="s">
        <v>489</v>
      </c>
      <c r="M150" s="296" t="s">
        <v>744</v>
      </c>
      <c r="N150" s="296" t="s">
        <v>389</v>
      </c>
      <c r="O150" s="108"/>
    </row>
    <row r="151" spans="1:15" s="78" customFormat="1" ht="105" x14ac:dyDescent="0.2">
      <c r="A151" s="69">
        <f>A128+1</f>
        <v>32</v>
      </c>
      <c r="B151" s="382"/>
      <c r="C151" s="202"/>
      <c r="D151" s="138" t="s">
        <v>261</v>
      </c>
      <c r="E151" s="228" t="s">
        <v>291</v>
      </c>
      <c r="F151" s="228" t="s">
        <v>278</v>
      </c>
      <c r="G151" s="70">
        <f>(0.5*G153)+(0.5*G154)</f>
        <v>0.53500000000000003</v>
      </c>
      <c r="H151" s="137">
        <v>170</v>
      </c>
      <c r="I151" s="362"/>
      <c r="J151" s="357"/>
      <c r="K151" s="357"/>
      <c r="L151" s="138"/>
      <c r="M151" s="138" t="s">
        <v>380</v>
      </c>
      <c r="N151" s="138" t="s">
        <v>752</v>
      </c>
      <c r="O151" s="123"/>
    </row>
    <row r="152" spans="1:15" s="10" customFormat="1" ht="30" x14ac:dyDescent="0.2">
      <c r="B152" s="590" t="s">
        <v>318</v>
      </c>
      <c r="C152" s="10">
        <v>1205201</v>
      </c>
      <c r="D152" s="296" t="s">
        <v>500</v>
      </c>
      <c r="E152" s="157" t="s">
        <v>499</v>
      </c>
      <c r="F152" s="157" t="s">
        <v>501</v>
      </c>
      <c r="G152" s="317">
        <v>1</v>
      </c>
      <c r="H152" s="112"/>
      <c r="I152" s="318">
        <v>6.9720000000000004</v>
      </c>
      <c r="J152" s="290">
        <v>6.8230000000000004</v>
      </c>
      <c r="K152" s="290">
        <f>Table3[[#This Row],[CIP Funds (millions)]]-Table3[[#This Row],[TransNet Funds (millions)]]</f>
        <v>0.14900000000000002</v>
      </c>
      <c r="L152" s="296" t="s">
        <v>787</v>
      </c>
      <c r="M152" s="296" t="s">
        <v>6</v>
      </c>
      <c r="N152" s="296" t="s">
        <v>6</v>
      </c>
      <c r="O152" s="111" t="s">
        <v>667</v>
      </c>
    </row>
    <row r="153" spans="1:15" s="364" customFormat="1" ht="45.75" thickBot="1" x14ac:dyDescent="0.25">
      <c r="B153" s="598"/>
      <c r="C153" s="364">
        <v>1205202</v>
      </c>
      <c r="D153" s="372" t="s">
        <v>495</v>
      </c>
      <c r="E153" s="536" t="s">
        <v>502</v>
      </c>
      <c r="F153" s="537" t="s">
        <v>503</v>
      </c>
      <c r="G153" s="458">
        <v>1</v>
      </c>
      <c r="H153" s="460"/>
      <c r="I153" s="368">
        <v>41.744999999999997</v>
      </c>
      <c r="J153" s="369">
        <v>38.744999999999997</v>
      </c>
      <c r="K153" s="369">
        <f>Table3[[#This Row],[CIP Funds (millions)]]-Table3[[#This Row],[TransNet Funds (millions)]]</f>
        <v>3</v>
      </c>
      <c r="L153" s="437"/>
      <c r="M153" s="437" t="s">
        <v>6</v>
      </c>
      <c r="N153" s="437" t="s">
        <v>6</v>
      </c>
      <c r="O153" s="438" t="s">
        <v>667</v>
      </c>
    </row>
    <row r="154" spans="1:15" s="10" customFormat="1" ht="75.75" thickBot="1" x14ac:dyDescent="0.25">
      <c r="B154" s="165" t="s">
        <v>319</v>
      </c>
      <c r="C154" s="10">
        <v>1205204</v>
      </c>
      <c r="D154" s="129" t="s">
        <v>496</v>
      </c>
      <c r="E154" s="157" t="s">
        <v>498</v>
      </c>
      <c r="F154" s="157" t="s">
        <v>497</v>
      </c>
      <c r="G154" s="317">
        <f>0.05+(0.1*0.2)</f>
        <v>7.0000000000000007E-2</v>
      </c>
      <c r="H154" s="112"/>
      <c r="I154" s="318">
        <v>17.5</v>
      </c>
      <c r="J154" s="290">
        <v>6</v>
      </c>
      <c r="K154" s="290">
        <f>Table3[[#This Row],[CIP Funds (millions)]]-Table3[[#This Row],[TransNet Funds (millions)]]</f>
        <v>11.5</v>
      </c>
      <c r="L154" s="276" t="s">
        <v>510</v>
      </c>
      <c r="M154" s="276" t="s">
        <v>380</v>
      </c>
      <c r="N154" s="276" t="s">
        <v>752</v>
      </c>
      <c r="O154" s="130"/>
    </row>
    <row r="155" spans="1:15" s="153" customFormat="1" ht="30.75" thickBot="1" x14ac:dyDescent="0.25">
      <c r="A155" s="397">
        <f>A151+1</f>
        <v>33</v>
      </c>
      <c r="B155" s="381"/>
      <c r="C155" s="200"/>
      <c r="D155" s="160" t="s">
        <v>262</v>
      </c>
      <c r="E155" s="231" t="s">
        <v>292</v>
      </c>
      <c r="F155" s="231" t="s">
        <v>279</v>
      </c>
      <c r="G155" s="57">
        <v>1</v>
      </c>
      <c r="H155" s="68">
        <v>240</v>
      </c>
      <c r="I155" s="359"/>
      <c r="J155" s="360"/>
      <c r="K155" s="360"/>
      <c r="L155" s="160"/>
      <c r="M155" s="160" t="s">
        <v>6</v>
      </c>
      <c r="N155" s="160" t="s">
        <v>6</v>
      </c>
      <c r="O155" s="161" t="s">
        <v>667</v>
      </c>
    </row>
    <row r="156" spans="1:15" s="8" customFormat="1" ht="60.75" thickBot="1" x14ac:dyDescent="0.25">
      <c r="B156" s="164" t="s">
        <v>318</v>
      </c>
      <c r="C156" s="93">
        <v>1205203</v>
      </c>
      <c r="D156" s="276" t="s">
        <v>506</v>
      </c>
      <c r="E156" s="259" t="s">
        <v>505</v>
      </c>
      <c r="F156" s="157" t="s">
        <v>504</v>
      </c>
      <c r="G156" s="127">
        <v>1</v>
      </c>
      <c r="H156" s="260"/>
      <c r="I156" s="332">
        <v>460.50900000000001</v>
      </c>
      <c r="J156" s="333">
        <f>44.945+48.33+17.719</f>
        <v>110.994</v>
      </c>
      <c r="K156" s="333">
        <f>Table3[[#This Row],[CIP Funds (millions)]]-Table3[[#This Row],[TransNet Funds (millions)]]</f>
        <v>349.51499999999999</v>
      </c>
      <c r="L156" s="276"/>
      <c r="M156" s="276" t="s">
        <v>6</v>
      </c>
      <c r="N156" s="276" t="s">
        <v>6</v>
      </c>
      <c r="O156" s="129" t="s">
        <v>667</v>
      </c>
    </row>
    <row r="157" spans="1:15" s="153" customFormat="1" ht="45.75" thickBot="1" x14ac:dyDescent="0.25">
      <c r="A157" s="397">
        <f>A155+1</f>
        <v>34</v>
      </c>
      <c r="B157" s="381"/>
      <c r="C157" s="200"/>
      <c r="D157" s="160" t="s">
        <v>263</v>
      </c>
      <c r="E157" s="231" t="s">
        <v>299</v>
      </c>
      <c r="F157" s="231" t="s">
        <v>280</v>
      </c>
      <c r="G157" s="57">
        <f>G158</f>
        <v>0.35000000000000003</v>
      </c>
      <c r="H157" s="68">
        <v>110</v>
      </c>
      <c r="I157" s="359"/>
      <c r="J157" s="360"/>
      <c r="K157" s="360"/>
      <c r="L157" s="160"/>
      <c r="M157" s="160" t="s">
        <v>335</v>
      </c>
      <c r="N157" s="160" t="s">
        <v>394</v>
      </c>
      <c r="O157" s="161"/>
    </row>
    <row r="158" spans="1:15" s="10" customFormat="1" ht="120" x14ac:dyDescent="0.2">
      <c r="B158" s="592" t="s">
        <v>319</v>
      </c>
      <c r="C158" s="10">
        <v>1212501</v>
      </c>
      <c r="D158" s="578" t="s">
        <v>507</v>
      </c>
      <c r="E158" s="531" t="s">
        <v>508</v>
      </c>
      <c r="F158" s="531" t="s">
        <v>509</v>
      </c>
      <c r="G158" s="429">
        <f>0.05+0.1+(0.25*0.8)</f>
        <v>0.35000000000000003</v>
      </c>
      <c r="H158" s="579"/>
      <c r="I158" s="571">
        <v>135.24</v>
      </c>
      <c r="J158" s="431">
        <v>3.9140000000000001</v>
      </c>
      <c r="K158" s="431">
        <f>Table3[[#This Row],[CIP Funds (millions)]]-Table3[[#This Row],[TransNet Funds (millions)]]</f>
        <v>131.32600000000002</v>
      </c>
      <c r="L158" s="276" t="s">
        <v>511</v>
      </c>
      <c r="M158" s="276" t="s">
        <v>335</v>
      </c>
      <c r="N158" s="276" t="s">
        <v>394</v>
      </c>
      <c r="O158" s="130"/>
    </row>
    <row r="159" spans="1:15" s="10" customFormat="1" ht="90.75" thickBot="1" x14ac:dyDescent="0.25">
      <c r="B159" s="594"/>
      <c r="C159" s="10">
        <v>1612501</v>
      </c>
      <c r="D159" s="129" t="s">
        <v>513</v>
      </c>
      <c r="E159" s="157" t="s">
        <v>514</v>
      </c>
      <c r="F159" s="157" t="s">
        <v>512</v>
      </c>
      <c r="G159" s="317">
        <v>0.1</v>
      </c>
      <c r="H159" s="112"/>
      <c r="I159" s="318">
        <v>3.6920000000000002</v>
      </c>
      <c r="J159" s="290">
        <v>0.16500000000000001</v>
      </c>
      <c r="K159" s="290">
        <f>Table3[[#This Row],[CIP Funds (millions)]]-Table3[[#This Row],[TransNet Funds (millions)]]</f>
        <v>3.5270000000000001</v>
      </c>
      <c r="L159" s="296" t="s">
        <v>515</v>
      </c>
      <c r="M159" s="296" t="s">
        <v>335</v>
      </c>
      <c r="N159" s="296" t="s">
        <v>394</v>
      </c>
      <c r="O159" s="111"/>
    </row>
    <row r="160" spans="1:15" s="153" customFormat="1" ht="90.75" thickBot="1" x14ac:dyDescent="0.25">
      <c r="A160" s="397">
        <f>A157+1</f>
        <v>35</v>
      </c>
      <c r="B160" s="381"/>
      <c r="C160" s="200"/>
      <c r="D160" s="160" t="s">
        <v>264</v>
      </c>
      <c r="E160" s="231" t="s">
        <v>293</v>
      </c>
      <c r="F160" s="231" t="s">
        <v>281</v>
      </c>
      <c r="G160" s="57">
        <v>0</v>
      </c>
      <c r="H160" s="68">
        <v>90</v>
      </c>
      <c r="I160" s="359"/>
      <c r="J160" s="360"/>
      <c r="K160" s="360"/>
      <c r="L160" s="160" t="s">
        <v>307</v>
      </c>
      <c r="M160" s="160" t="s">
        <v>374</v>
      </c>
      <c r="N160" s="160" t="s">
        <v>6</v>
      </c>
      <c r="O160" s="161"/>
    </row>
    <row r="161" spans="1:15" s="36" customFormat="1" ht="90.75" thickBot="1" x14ac:dyDescent="0.35">
      <c r="A161" s="40">
        <f t="shared" si="0"/>
        <v>36</v>
      </c>
      <c r="B161" s="163"/>
      <c r="C161" s="199"/>
      <c r="D161" s="44" t="s">
        <v>265</v>
      </c>
      <c r="E161" s="226" t="s">
        <v>294</v>
      </c>
      <c r="F161" s="226" t="s">
        <v>282</v>
      </c>
      <c r="G161" s="41">
        <v>0</v>
      </c>
      <c r="H161" s="42">
        <v>350</v>
      </c>
      <c r="I161" s="352"/>
      <c r="J161" s="353"/>
      <c r="K161" s="353"/>
      <c r="L161" s="45"/>
      <c r="M161" s="44" t="s">
        <v>393</v>
      </c>
      <c r="N161" s="44" t="s">
        <v>753</v>
      </c>
      <c r="O161" s="120"/>
    </row>
    <row r="162" spans="1:15" s="159" customFormat="1" ht="75" x14ac:dyDescent="0.2">
      <c r="A162" s="146"/>
      <c r="B162" s="592" t="s">
        <v>319</v>
      </c>
      <c r="C162" s="434">
        <v>1609401</v>
      </c>
      <c r="D162" s="24" t="s">
        <v>516</v>
      </c>
      <c r="E162" s="227" t="s">
        <v>517</v>
      </c>
      <c r="F162" s="227" t="s">
        <v>519</v>
      </c>
      <c r="G162" s="21">
        <v>0</v>
      </c>
      <c r="H162" s="22"/>
      <c r="I162" s="336">
        <v>2.226</v>
      </c>
      <c r="J162" s="337">
        <v>0.20599999999999999</v>
      </c>
      <c r="K162" s="337">
        <f>Table3[[#This Row],[CIP Funds (millions)]]-Table3[[#This Row],[TransNet Funds (millions)]]</f>
        <v>2.02</v>
      </c>
      <c r="L162" s="24" t="s">
        <v>521</v>
      </c>
      <c r="M162" s="24" t="s">
        <v>6</v>
      </c>
      <c r="N162" s="24" t="s">
        <v>6</v>
      </c>
      <c r="O162" s="23"/>
    </row>
    <row r="163" spans="1:15" s="159" customFormat="1" ht="75.75" thickBot="1" x14ac:dyDescent="0.25">
      <c r="A163" s="36"/>
      <c r="B163" s="594"/>
      <c r="C163" s="461" t="s">
        <v>310</v>
      </c>
      <c r="D163" s="24" t="s">
        <v>265</v>
      </c>
      <c r="E163" s="229" t="s">
        <v>294</v>
      </c>
      <c r="F163" s="227" t="s">
        <v>518</v>
      </c>
      <c r="G163" s="21">
        <v>0</v>
      </c>
      <c r="H163" s="22"/>
      <c r="I163" s="336">
        <v>0</v>
      </c>
      <c r="J163" s="337">
        <v>0</v>
      </c>
      <c r="K163" s="337">
        <v>0</v>
      </c>
      <c r="L163" s="24" t="s">
        <v>520</v>
      </c>
      <c r="M163" s="24" t="s">
        <v>393</v>
      </c>
      <c r="N163" s="24" t="s">
        <v>753</v>
      </c>
      <c r="O163" s="23"/>
    </row>
    <row r="164" spans="1:15" s="78" customFormat="1" ht="45" x14ac:dyDescent="0.2">
      <c r="A164" s="69">
        <f>A161+1</f>
        <v>37</v>
      </c>
      <c r="B164" s="382"/>
      <c r="C164" s="202"/>
      <c r="D164" s="138" t="s">
        <v>266</v>
      </c>
      <c r="E164" s="228" t="s">
        <v>313</v>
      </c>
      <c r="F164" s="228" t="s">
        <v>283</v>
      </c>
      <c r="G164" s="494">
        <f>(1*(SUM(I165:I169)/SUM(I165:I170)))+(G170*(I170/(SUM(I165:I170))))</f>
        <v>0.92728263088561524</v>
      </c>
      <c r="H164" s="137">
        <v>70</v>
      </c>
      <c r="I164" s="362"/>
      <c r="J164" s="357"/>
      <c r="K164" s="357"/>
      <c r="L164" s="138"/>
      <c r="M164" s="138" t="s">
        <v>6</v>
      </c>
      <c r="N164" s="138" t="s">
        <v>6</v>
      </c>
      <c r="O164" s="123" t="s">
        <v>667</v>
      </c>
    </row>
    <row r="165" spans="1:15" s="10" customFormat="1" ht="60" x14ac:dyDescent="0.2">
      <c r="B165" s="590" t="s">
        <v>318</v>
      </c>
      <c r="C165" s="10">
        <v>1210010</v>
      </c>
      <c r="D165" s="111" t="s">
        <v>535</v>
      </c>
      <c r="E165" s="158" t="s">
        <v>536</v>
      </c>
      <c r="F165" s="528" t="s">
        <v>537</v>
      </c>
      <c r="G165" s="463">
        <v>1</v>
      </c>
      <c r="H165" s="464"/>
      <c r="I165" s="311">
        <v>19.428999999999998</v>
      </c>
      <c r="J165" s="291">
        <v>18.917999999999999</v>
      </c>
      <c r="K165" s="291">
        <f>Table3[[#This Row],[CIP Funds (millions)]]-Table3[[#This Row],[TransNet Funds (millions)]]</f>
        <v>0.51099999999999923</v>
      </c>
      <c r="L165" s="296"/>
      <c r="M165" s="296" t="s">
        <v>6</v>
      </c>
      <c r="N165" s="296" t="s">
        <v>6</v>
      </c>
      <c r="O165" s="111" t="s">
        <v>667</v>
      </c>
    </row>
    <row r="166" spans="1:15" s="10" customFormat="1" ht="45" x14ac:dyDescent="0.3">
      <c r="B166" s="597"/>
      <c r="C166" s="10">
        <v>1210040</v>
      </c>
      <c r="D166" s="111" t="s">
        <v>527</v>
      </c>
      <c r="E166" s="206" t="s">
        <v>526</v>
      </c>
      <c r="F166" s="206" t="s">
        <v>525</v>
      </c>
      <c r="G166" s="299">
        <v>1</v>
      </c>
      <c r="H166" s="114"/>
      <c r="I166" s="291">
        <v>29.2</v>
      </c>
      <c r="J166" s="291">
        <v>15.504401</v>
      </c>
      <c r="K166" s="291">
        <f>Table3[[#This Row],[CIP Funds (millions)]]-Table3[[#This Row],[TransNet Funds (millions)]]</f>
        <v>13.695599</v>
      </c>
      <c r="L166" s="296"/>
      <c r="M166" s="296" t="s">
        <v>6</v>
      </c>
      <c r="N166" s="296" t="s">
        <v>6</v>
      </c>
      <c r="O166" s="111" t="s">
        <v>667</v>
      </c>
    </row>
    <row r="167" spans="1:15" s="10" customFormat="1" ht="60" x14ac:dyDescent="0.2">
      <c r="B167" s="597"/>
      <c r="C167" s="101">
        <v>1210050</v>
      </c>
      <c r="D167" s="55" t="s">
        <v>123</v>
      </c>
      <c r="E167" s="139" t="s">
        <v>437</v>
      </c>
      <c r="F167" s="206" t="s">
        <v>436</v>
      </c>
      <c r="G167" s="99">
        <v>1</v>
      </c>
      <c r="H167" s="100"/>
      <c r="I167" s="311">
        <v>5.9790000000000001</v>
      </c>
      <c r="J167" s="291">
        <v>4.992</v>
      </c>
      <c r="K167" s="291">
        <f>Table3[[#This Row],[CIP Funds (millions)]]-Table3[[#This Row],[TransNet Funds (millions)]]</f>
        <v>0.9870000000000001</v>
      </c>
      <c r="L167" s="24"/>
      <c r="M167" s="296" t="s">
        <v>6</v>
      </c>
      <c r="N167" s="296" t="s">
        <v>6</v>
      </c>
      <c r="O167" s="111" t="s">
        <v>667</v>
      </c>
    </row>
    <row r="168" spans="1:15" s="10" customFormat="1" ht="75" x14ac:dyDescent="0.3">
      <c r="B168" s="597"/>
      <c r="C168" s="10">
        <v>1210070</v>
      </c>
      <c r="D168" s="64" t="s">
        <v>534</v>
      </c>
      <c r="E168" s="502" t="s">
        <v>533</v>
      </c>
      <c r="F168" s="502" t="s">
        <v>532</v>
      </c>
      <c r="G168" s="240">
        <v>1</v>
      </c>
      <c r="H168" s="503"/>
      <c r="I168" s="320">
        <v>69.215999999999994</v>
      </c>
      <c r="J168" s="320">
        <v>32.072000000000003</v>
      </c>
      <c r="K168" s="320">
        <f>Table3[[#This Row],[CIP Funds (millions)]]-Table3[[#This Row],[TransNet Funds (millions)]]</f>
        <v>37.143999999999991</v>
      </c>
      <c r="L168" s="296"/>
      <c r="M168" s="296" t="s">
        <v>6</v>
      </c>
      <c r="N168" s="296" t="s">
        <v>6</v>
      </c>
      <c r="O168" s="111" t="s">
        <v>667</v>
      </c>
    </row>
    <row r="169" spans="1:15" s="364" customFormat="1" ht="60.75" thickBot="1" x14ac:dyDescent="0.25">
      <c r="B169" s="439"/>
      <c r="C169" s="400">
        <v>1210080</v>
      </c>
      <c r="D169" s="401" t="s">
        <v>124</v>
      </c>
      <c r="E169" s="203" t="s">
        <v>437</v>
      </c>
      <c r="F169" s="529" t="s">
        <v>438</v>
      </c>
      <c r="G169" s="498">
        <v>1</v>
      </c>
      <c r="H169" s="499"/>
      <c r="I169" s="368">
        <v>269.05700000000002</v>
      </c>
      <c r="J169" s="369">
        <v>36.920999999999999</v>
      </c>
      <c r="K169" s="369">
        <f>Table3[[#This Row],[CIP Funds (millions)]]-Table3[[#This Row],[TransNet Funds (millions)]]</f>
        <v>232.13600000000002</v>
      </c>
      <c r="L169" s="370"/>
      <c r="M169" s="437" t="s">
        <v>6</v>
      </c>
      <c r="N169" s="437" t="s">
        <v>6</v>
      </c>
      <c r="O169" s="438" t="s">
        <v>667</v>
      </c>
    </row>
    <row r="170" spans="1:15" s="10" customFormat="1" ht="60.75" thickBot="1" x14ac:dyDescent="0.25">
      <c r="B170" s="165" t="s">
        <v>319</v>
      </c>
      <c r="C170" s="10">
        <v>1210090</v>
      </c>
      <c r="D170" s="130" t="s">
        <v>528</v>
      </c>
      <c r="E170" s="227" t="s">
        <v>530</v>
      </c>
      <c r="F170" s="227" t="s">
        <v>529</v>
      </c>
      <c r="G170" s="293">
        <f>25/47</f>
        <v>0.53191489361702127</v>
      </c>
      <c r="H170" s="88"/>
      <c r="I170" s="207">
        <v>72.260000000000005</v>
      </c>
      <c r="J170" s="208">
        <f>30+0.26</f>
        <v>30.26</v>
      </c>
      <c r="K170" s="208">
        <f>Table3[[#This Row],[CIP Funds (millions)]]-Table3[[#This Row],[TransNet Funds (millions)]]</f>
        <v>42</v>
      </c>
      <c r="L170" s="276" t="s">
        <v>531</v>
      </c>
      <c r="M170" s="276" t="s">
        <v>6</v>
      </c>
      <c r="N170" s="276" t="s">
        <v>6</v>
      </c>
      <c r="O170" s="130"/>
    </row>
    <row r="171" spans="1:15" s="78" customFormat="1" ht="105.75" thickBot="1" x14ac:dyDescent="0.25">
      <c r="A171" s="69">
        <f>A164+1</f>
        <v>38</v>
      </c>
      <c r="B171" s="382"/>
      <c r="C171" s="202"/>
      <c r="D171" s="138" t="s">
        <v>267</v>
      </c>
      <c r="E171" s="228" t="s">
        <v>295</v>
      </c>
      <c r="F171" s="228" t="s">
        <v>316</v>
      </c>
      <c r="G171" s="70">
        <v>0</v>
      </c>
      <c r="H171" s="137">
        <v>140</v>
      </c>
      <c r="I171" s="362">
        <v>0</v>
      </c>
      <c r="J171" s="357">
        <v>0</v>
      </c>
      <c r="K171" s="357">
        <v>0</v>
      </c>
      <c r="L171" s="160" t="s">
        <v>307</v>
      </c>
      <c r="M171" s="138" t="s">
        <v>336</v>
      </c>
      <c r="N171" s="138" t="s">
        <v>755</v>
      </c>
      <c r="O171" s="123"/>
    </row>
    <row r="172" spans="1:15" s="78" customFormat="1" ht="45" x14ac:dyDescent="0.2">
      <c r="A172" s="69">
        <f t="shared" si="0"/>
        <v>39</v>
      </c>
      <c r="B172" s="382"/>
      <c r="C172" s="202"/>
      <c r="D172" s="138" t="s">
        <v>268</v>
      </c>
      <c r="E172" s="228" t="s">
        <v>296</v>
      </c>
      <c r="F172" s="228" t="s">
        <v>284</v>
      </c>
      <c r="G172" s="494">
        <f>G175</f>
        <v>0.03</v>
      </c>
      <c r="H172" s="137">
        <v>240</v>
      </c>
      <c r="I172" s="362"/>
      <c r="J172" s="357"/>
      <c r="K172" s="357"/>
      <c r="L172" s="138"/>
      <c r="M172" s="138" t="s">
        <v>379</v>
      </c>
      <c r="N172" s="138" t="s">
        <v>756</v>
      </c>
      <c r="O172" s="123"/>
    </row>
    <row r="173" spans="1:15" s="10" customFormat="1" ht="90" x14ac:dyDescent="0.2">
      <c r="B173" s="590" t="s">
        <v>318</v>
      </c>
      <c r="C173" s="10">
        <v>1605201</v>
      </c>
      <c r="D173" s="446" t="s">
        <v>541</v>
      </c>
      <c r="E173" s="206" t="s">
        <v>542</v>
      </c>
      <c r="F173" s="206" t="s">
        <v>543</v>
      </c>
      <c r="G173" s="299">
        <v>1</v>
      </c>
      <c r="H173" s="466"/>
      <c r="I173" s="291">
        <v>2.1059999999999999</v>
      </c>
      <c r="J173" s="291">
        <f>0.103+0.231</f>
        <v>0.33400000000000002</v>
      </c>
      <c r="K173" s="291">
        <f>Table3[[#This Row],[CIP Funds (millions)]]-Table3[[#This Row],[TransNet Funds (millions)]]</f>
        <v>1.7719999999999998</v>
      </c>
      <c r="L173" s="296" t="s">
        <v>547</v>
      </c>
      <c r="M173" s="296" t="s">
        <v>6</v>
      </c>
      <c r="N173" s="296" t="s">
        <v>6</v>
      </c>
      <c r="O173" s="111" t="s">
        <v>373</v>
      </c>
    </row>
    <row r="174" spans="1:15" s="364" customFormat="1" ht="75.75" thickBot="1" x14ac:dyDescent="0.25">
      <c r="B174" s="598"/>
      <c r="C174" s="364">
        <v>1606701</v>
      </c>
      <c r="D174" s="372" t="s">
        <v>544</v>
      </c>
      <c r="E174" s="462" t="s">
        <v>546</v>
      </c>
      <c r="F174" s="462" t="s">
        <v>545</v>
      </c>
      <c r="G174" s="458">
        <v>1</v>
      </c>
      <c r="H174" s="476"/>
      <c r="I174" s="403">
        <v>0.99092899999999995</v>
      </c>
      <c r="J174" s="403">
        <f>0.00592+0.012</f>
        <v>1.7919999999999998E-2</v>
      </c>
      <c r="K174" s="403">
        <f>Table3[[#This Row],[CIP Funds (millions)]]-Table3[[#This Row],[TransNet Funds (millions)]]</f>
        <v>0.9730089999999999</v>
      </c>
      <c r="L174" s="437" t="s">
        <v>547</v>
      </c>
      <c r="M174" s="437" t="s">
        <v>6</v>
      </c>
      <c r="N174" s="437" t="s">
        <v>6</v>
      </c>
      <c r="O174" s="372" t="s">
        <v>373</v>
      </c>
    </row>
    <row r="175" spans="1:15" s="10" customFormat="1" ht="60.75" thickBot="1" x14ac:dyDescent="0.25">
      <c r="B175" s="165" t="s">
        <v>319</v>
      </c>
      <c r="C175" s="10">
        <v>1206701</v>
      </c>
      <c r="D175" s="130" t="s">
        <v>538</v>
      </c>
      <c r="E175" s="227" t="s">
        <v>540</v>
      </c>
      <c r="F175" s="227" t="s">
        <v>539</v>
      </c>
      <c r="G175" s="293">
        <f>0.6*0.05</f>
        <v>0.03</v>
      </c>
      <c r="H175" s="88"/>
      <c r="I175" s="207">
        <v>52</v>
      </c>
      <c r="J175" s="208">
        <v>3.8319999999999999</v>
      </c>
      <c r="K175" s="208">
        <f>Table3[[#This Row],[CIP Funds (millions)]]-Table3[[#This Row],[TransNet Funds (millions)]]</f>
        <v>48.167999999999999</v>
      </c>
      <c r="L175" s="276" t="s">
        <v>754</v>
      </c>
      <c r="M175" s="276" t="s">
        <v>379</v>
      </c>
      <c r="N175" s="276" t="s">
        <v>756</v>
      </c>
      <c r="O175" s="130"/>
    </row>
    <row r="176" spans="1:15" s="146" customFormat="1" ht="45.75" thickBot="1" x14ac:dyDescent="0.35">
      <c r="A176" s="71">
        <f>A172+1</f>
        <v>40</v>
      </c>
      <c r="B176" s="162"/>
      <c r="C176" s="467"/>
      <c r="D176" s="468" t="s">
        <v>269</v>
      </c>
      <c r="E176" s="469" t="s">
        <v>297</v>
      </c>
      <c r="F176" s="469" t="s">
        <v>317</v>
      </c>
      <c r="G176" s="470">
        <v>0.05</v>
      </c>
      <c r="H176" s="471">
        <v>30</v>
      </c>
      <c r="I176" s="472"/>
      <c r="J176" s="473"/>
      <c r="K176" s="473"/>
      <c r="L176" s="474"/>
      <c r="M176" s="468" t="s">
        <v>378</v>
      </c>
      <c r="N176" s="468" t="s">
        <v>757</v>
      </c>
      <c r="O176" s="475"/>
    </row>
    <row r="177" spans="1:15" s="168" customFormat="1" ht="105.75" thickBot="1" x14ac:dyDescent="0.35">
      <c r="A177" s="477"/>
      <c r="B177" s="363" t="s">
        <v>318</v>
      </c>
      <c r="C177" s="168">
        <v>1600801</v>
      </c>
      <c r="D177" s="169" t="s">
        <v>548</v>
      </c>
      <c r="E177" s="512" t="s">
        <v>550</v>
      </c>
      <c r="F177" s="512" t="s">
        <v>549</v>
      </c>
      <c r="G177" s="478">
        <v>1</v>
      </c>
      <c r="H177" s="479"/>
      <c r="I177" s="343">
        <v>3</v>
      </c>
      <c r="J177" s="343">
        <v>0.19500000000000001</v>
      </c>
      <c r="K177" s="343">
        <f>Table3[[#This Row],[CIP Funds (millions)]]-Table3[[#This Row],[TransNet Funds (millions)]]</f>
        <v>2.8050000000000002</v>
      </c>
      <c r="L177" s="306" t="s">
        <v>547</v>
      </c>
      <c r="M177" s="306" t="s">
        <v>6</v>
      </c>
      <c r="N177" s="306" t="s">
        <v>6</v>
      </c>
      <c r="O177" s="169" t="s">
        <v>373</v>
      </c>
    </row>
    <row r="178" spans="1:15" s="580" customFormat="1" ht="45.75" thickBot="1" x14ac:dyDescent="0.25">
      <c r="B178" s="251" t="s">
        <v>319</v>
      </c>
      <c r="C178" s="581" t="s">
        <v>310</v>
      </c>
      <c r="D178" s="257" t="s">
        <v>269</v>
      </c>
      <c r="E178" s="516" t="s">
        <v>297</v>
      </c>
      <c r="F178" s="582" t="s">
        <v>563</v>
      </c>
      <c r="G178" s="255">
        <v>0</v>
      </c>
      <c r="H178" s="583"/>
      <c r="I178" s="325">
        <v>0</v>
      </c>
      <c r="J178" s="326">
        <v>0</v>
      </c>
      <c r="K178" s="326">
        <v>0</v>
      </c>
      <c r="L178" s="257" t="s">
        <v>520</v>
      </c>
      <c r="M178" s="257" t="s">
        <v>378</v>
      </c>
      <c r="N178" s="257" t="s">
        <v>757</v>
      </c>
      <c r="O178" s="258"/>
    </row>
    <row r="179" spans="1:15" s="153" customFormat="1" ht="90.75" thickBot="1" x14ac:dyDescent="0.25">
      <c r="A179" s="397">
        <f>A176+1</f>
        <v>41</v>
      </c>
      <c r="B179" s="381"/>
      <c r="C179" s="200"/>
      <c r="D179" s="160" t="s">
        <v>270</v>
      </c>
      <c r="E179" s="231" t="s">
        <v>298</v>
      </c>
      <c r="F179" s="231" t="s">
        <v>655</v>
      </c>
      <c r="G179" s="405">
        <f>G182</f>
        <v>6.0000000000000005E-2</v>
      </c>
      <c r="H179" s="68">
        <v>500</v>
      </c>
      <c r="I179" s="359"/>
      <c r="J179" s="360"/>
      <c r="K179" s="360"/>
      <c r="L179" s="160"/>
      <c r="M179" s="160" t="s">
        <v>337</v>
      </c>
      <c r="N179" s="160" t="s">
        <v>758</v>
      </c>
      <c r="O179" s="161"/>
    </row>
    <row r="180" spans="1:15" s="10" customFormat="1" ht="45" x14ac:dyDescent="0.2">
      <c r="B180" s="596" t="s">
        <v>318</v>
      </c>
      <c r="C180" s="10">
        <v>1201510</v>
      </c>
      <c r="D180" s="130" t="s">
        <v>558</v>
      </c>
      <c r="E180" s="227" t="s">
        <v>559</v>
      </c>
      <c r="F180" s="227" t="s">
        <v>557</v>
      </c>
      <c r="G180" s="293">
        <v>1</v>
      </c>
      <c r="H180" s="88"/>
      <c r="I180" s="207">
        <v>23.803999999999998</v>
      </c>
      <c r="J180" s="208">
        <f>4.866+11.711</f>
        <v>16.576999999999998</v>
      </c>
      <c r="K180" s="208">
        <f>Table3[[#This Row],[CIP Funds (millions)]]-Table3[[#This Row],[TransNet Funds (millions)]]</f>
        <v>7.2270000000000003</v>
      </c>
      <c r="L180" s="276"/>
      <c r="M180" s="276" t="s">
        <v>6</v>
      </c>
      <c r="N180" s="276" t="s">
        <v>6</v>
      </c>
      <c r="O180" s="130" t="s">
        <v>667</v>
      </c>
    </row>
    <row r="181" spans="1:15" s="364" customFormat="1" ht="45.75" thickBot="1" x14ac:dyDescent="0.35">
      <c r="B181" s="598"/>
      <c r="C181" s="364">
        <v>1207801</v>
      </c>
      <c r="D181" s="438" t="s">
        <v>555</v>
      </c>
      <c r="E181" s="523" t="s">
        <v>554</v>
      </c>
      <c r="F181" s="523" t="s">
        <v>662</v>
      </c>
      <c r="G181" s="458">
        <v>1</v>
      </c>
      <c r="H181" s="459"/>
      <c r="I181" s="403">
        <v>1.6830000000000001</v>
      </c>
      <c r="J181" s="403">
        <v>1.6830000000000001</v>
      </c>
      <c r="K181" s="403">
        <f>Table3[[#This Row],[CIP Funds (millions)]]-Table3[[#This Row],[TransNet Funds (millions)]]</f>
        <v>0</v>
      </c>
      <c r="L181" s="437" t="s">
        <v>556</v>
      </c>
      <c r="M181" s="437" t="s">
        <v>6</v>
      </c>
      <c r="N181" s="437" t="s">
        <v>6</v>
      </c>
      <c r="O181" s="438" t="s">
        <v>667</v>
      </c>
    </row>
    <row r="182" spans="1:15" s="10" customFormat="1" ht="45" x14ac:dyDescent="0.3">
      <c r="B182" s="593" t="s">
        <v>319</v>
      </c>
      <c r="C182" s="10">
        <v>1207803</v>
      </c>
      <c r="D182" s="23" t="s">
        <v>551</v>
      </c>
      <c r="E182" s="229" t="s">
        <v>312</v>
      </c>
      <c r="F182" s="227" t="s">
        <v>660</v>
      </c>
      <c r="G182" s="293">
        <f>0.05+(0.1*0.1)</f>
        <v>6.0000000000000005E-2</v>
      </c>
      <c r="H182" s="48"/>
      <c r="I182" s="208">
        <v>66.117999999999995</v>
      </c>
      <c r="J182" s="208">
        <v>16.117999999999999</v>
      </c>
      <c r="K182" s="208">
        <f>Table3[[#This Row],[CIP Funds (millions)]]-Table3[[#This Row],[TransNet Funds (millions)]]</f>
        <v>50</v>
      </c>
      <c r="L182" s="24" t="s">
        <v>552</v>
      </c>
      <c r="M182" s="24" t="s">
        <v>760</v>
      </c>
      <c r="N182" s="24" t="s">
        <v>759</v>
      </c>
      <c r="O182" s="23"/>
    </row>
    <row r="183" spans="1:15" s="10" customFormat="1" ht="75.75" thickBot="1" x14ac:dyDescent="0.35">
      <c r="B183" s="594"/>
      <c r="C183" s="10">
        <v>1207804</v>
      </c>
      <c r="D183" s="15" t="s">
        <v>553</v>
      </c>
      <c r="E183" s="538" t="s">
        <v>554</v>
      </c>
      <c r="F183" s="158" t="s">
        <v>663</v>
      </c>
      <c r="G183" s="299">
        <f>0.05+(0.1*0.1)</f>
        <v>6.0000000000000005E-2</v>
      </c>
      <c r="H183" s="51"/>
      <c r="I183" s="291">
        <v>39</v>
      </c>
      <c r="J183" s="291">
        <v>30</v>
      </c>
      <c r="K183" s="291">
        <f>Table3[[#This Row],[CIP Funds (millions)]]-Table3[[#This Row],[TransNet Funds (millions)]]</f>
        <v>9</v>
      </c>
      <c r="L183" s="37" t="s">
        <v>552</v>
      </c>
      <c r="M183" s="37" t="s">
        <v>337</v>
      </c>
      <c r="N183" s="37" t="s">
        <v>758</v>
      </c>
      <c r="O183" s="15"/>
    </row>
    <row r="184" spans="1:15" s="78" customFormat="1" ht="150" x14ac:dyDescent="0.2">
      <c r="A184" s="69">
        <f>A179+1</f>
        <v>42</v>
      </c>
      <c r="B184" s="382"/>
      <c r="C184" s="202"/>
      <c r="D184" s="138" t="s">
        <v>271</v>
      </c>
      <c r="E184" s="228" t="s">
        <v>763</v>
      </c>
      <c r="F184" s="228" t="s">
        <v>285</v>
      </c>
      <c r="G184" s="465">
        <f>(G185*0.25)+(G187*0.75)</f>
        <v>0.25</v>
      </c>
      <c r="H184" s="137">
        <v>200</v>
      </c>
      <c r="I184" s="362"/>
      <c r="J184" s="357"/>
      <c r="K184" s="357"/>
      <c r="L184" s="138"/>
      <c r="M184" s="138" t="s">
        <v>376</v>
      </c>
      <c r="N184" s="138" t="s">
        <v>381</v>
      </c>
      <c r="O184" s="123"/>
    </row>
    <row r="185" spans="1:15" s="480" customFormat="1" ht="75.75" thickBot="1" x14ac:dyDescent="0.25">
      <c r="B185" s="481" t="s">
        <v>318</v>
      </c>
      <c r="C185" s="480">
        <v>1230001</v>
      </c>
      <c r="D185" s="438" t="s">
        <v>560</v>
      </c>
      <c r="E185" s="462" t="s">
        <v>561</v>
      </c>
      <c r="F185" s="462" t="s">
        <v>562</v>
      </c>
      <c r="G185" s="458">
        <v>1</v>
      </c>
      <c r="H185" s="367"/>
      <c r="I185" s="402">
        <v>65.87</v>
      </c>
      <c r="J185" s="403">
        <v>65.87</v>
      </c>
      <c r="K185" s="403">
        <f>Table3[[#This Row],[CIP Funds (millions)]]-Table3[[#This Row],[TransNet Funds (millions)]]</f>
        <v>0</v>
      </c>
      <c r="L185" s="437"/>
      <c r="M185" s="437" t="s">
        <v>6</v>
      </c>
      <c r="N185" s="437" t="s">
        <v>6</v>
      </c>
      <c r="O185" s="438" t="s">
        <v>667</v>
      </c>
    </row>
    <row r="186" spans="1:15" s="10" customFormat="1" ht="105" x14ac:dyDescent="0.2">
      <c r="B186" s="593" t="s">
        <v>319</v>
      </c>
      <c r="C186" s="10">
        <v>1607801</v>
      </c>
      <c r="D186" s="24" t="s">
        <v>564</v>
      </c>
      <c r="E186" s="227" t="s">
        <v>566</v>
      </c>
      <c r="F186" s="227" t="s">
        <v>565</v>
      </c>
      <c r="G186" s="482">
        <v>1</v>
      </c>
      <c r="H186" s="483"/>
      <c r="I186" s="484">
        <v>3</v>
      </c>
      <c r="J186" s="485">
        <v>0.40500000000000003</v>
      </c>
      <c r="K186" s="74">
        <f>Table3[[#This Row],[CIP Funds (millions)]]-Table3[[#This Row],[TransNet Funds (millions)]]</f>
        <v>2.5949999999999998</v>
      </c>
      <c r="L186" s="24"/>
      <c r="M186" s="24" t="s">
        <v>376</v>
      </c>
      <c r="N186" s="24" t="s">
        <v>381</v>
      </c>
      <c r="O186" s="23"/>
    </row>
    <row r="187" spans="1:15" s="10" customFormat="1" ht="60.75" thickBot="1" x14ac:dyDescent="0.35">
      <c r="B187" s="594"/>
      <c r="C187" s="201" t="s">
        <v>310</v>
      </c>
      <c r="D187" s="446" t="s">
        <v>761</v>
      </c>
      <c r="E187" s="232" t="s">
        <v>763</v>
      </c>
      <c r="F187" s="232" t="s">
        <v>762</v>
      </c>
      <c r="G187" s="486">
        <v>0</v>
      </c>
      <c r="H187" s="487"/>
      <c r="I187" s="488">
        <v>0</v>
      </c>
      <c r="J187" s="488">
        <v>0</v>
      </c>
      <c r="K187" s="489">
        <v>0</v>
      </c>
      <c r="L187" s="296" t="s">
        <v>307</v>
      </c>
      <c r="M187" s="296" t="s">
        <v>376</v>
      </c>
      <c r="N187" s="296" t="s">
        <v>381</v>
      </c>
      <c r="O187" s="111"/>
    </row>
    <row r="188" spans="1:15" s="153" customFormat="1" ht="60.75" thickBot="1" x14ac:dyDescent="0.25">
      <c r="A188" s="397">
        <f>A184+1</f>
        <v>43</v>
      </c>
      <c r="B188" s="381"/>
      <c r="C188" s="200"/>
      <c r="D188" s="160" t="s">
        <v>272</v>
      </c>
      <c r="E188" s="231" t="s">
        <v>300</v>
      </c>
      <c r="F188" s="231" t="s">
        <v>286</v>
      </c>
      <c r="G188" s="405">
        <v>1</v>
      </c>
      <c r="H188" s="68">
        <v>180</v>
      </c>
      <c r="I188" s="359"/>
      <c r="J188" s="360"/>
      <c r="K188" s="360"/>
      <c r="L188" s="160"/>
      <c r="M188" s="160" t="s">
        <v>6</v>
      </c>
      <c r="N188" s="160" t="s">
        <v>6</v>
      </c>
      <c r="O188" s="572" t="s">
        <v>764</v>
      </c>
    </row>
    <row r="189" spans="1:15" s="10" customFormat="1" ht="30" x14ac:dyDescent="0.2">
      <c r="B189" s="590" t="s">
        <v>318</v>
      </c>
      <c r="C189" s="10">
        <v>1207602</v>
      </c>
      <c r="D189" s="130" t="s">
        <v>571</v>
      </c>
      <c r="E189" s="227" t="s">
        <v>572</v>
      </c>
      <c r="F189" s="227" t="s">
        <v>570</v>
      </c>
      <c r="G189" s="21">
        <v>1</v>
      </c>
      <c r="H189" s="88"/>
      <c r="I189" s="207">
        <v>165.07499999999999</v>
      </c>
      <c r="J189" s="208">
        <f>6.146+3+48.017</f>
        <v>57.163000000000004</v>
      </c>
      <c r="K189" s="208">
        <f>Table3[[#This Row],[CIP Funds (millions)]]-Table3[[#This Row],[TransNet Funds (millions)]]</f>
        <v>107.91199999999998</v>
      </c>
      <c r="L189" s="276"/>
      <c r="M189" s="276" t="s">
        <v>6</v>
      </c>
      <c r="N189" s="276" t="s">
        <v>6</v>
      </c>
      <c r="O189" s="130" t="s">
        <v>667</v>
      </c>
    </row>
    <row r="190" spans="1:15" s="10" customFormat="1" ht="45.75" thickBot="1" x14ac:dyDescent="0.25">
      <c r="B190" s="591"/>
      <c r="C190" s="10">
        <v>1207606</v>
      </c>
      <c r="D190" s="111" t="s">
        <v>567</v>
      </c>
      <c r="E190" s="232" t="s">
        <v>569</v>
      </c>
      <c r="F190" s="232" t="s">
        <v>568</v>
      </c>
      <c r="G190" s="132">
        <v>1</v>
      </c>
      <c r="H190" s="490"/>
      <c r="I190" s="320">
        <v>202.691</v>
      </c>
      <c r="J190" s="320">
        <f>8.133+12.139+47.341</f>
        <v>67.613</v>
      </c>
      <c r="K190" s="320">
        <f>Table3[[#This Row],[CIP Funds (millions)]]-Table3[[#This Row],[TransNet Funds (millions)]]</f>
        <v>135.078</v>
      </c>
      <c r="L190" s="296"/>
      <c r="M190" s="296" t="s">
        <v>6</v>
      </c>
      <c r="N190" s="296" t="s">
        <v>6</v>
      </c>
      <c r="O190" s="446" t="s">
        <v>764</v>
      </c>
    </row>
    <row r="191" spans="1:15" s="153" customFormat="1" ht="30.75" thickBot="1" x14ac:dyDescent="0.25">
      <c r="A191" s="397">
        <f>A188+1</f>
        <v>44</v>
      </c>
      <c r="B191" s="381"/>
      <c r="C191" s="200"/>
      <c r="D191" s="160" t="s">
        <v>273</v>
      </c>
      <c r="E191" s="231" t="s">
        <v>298</v>
      </c>
      <c r="F191" s="231" t="s">
        <v>287</v>
      </c>
      <c r="G191" s="57">
        <f>(0.5*G192)+(0.5*G194)</f>
        <v>0.23</v>
      </c>
      <c r="H191" s="68">
        <v>100</v>
      </c>
      <c r="I191" s="359"/>
      <c r="J191" s="360"/>
      <c r="K191" s="360"/>
      <c r="L191" s="160"/>
      <c r="M191" s="160" t="s">
        <v>338</v>
      </c>
      <c r="N191" s="160" t="s">
        <v>765</v>
      </c>
      <c r="O191" s="161"/>
    </row>
    <row r="192" spans="1:15" s="10" customFormat="1" ht="45" x14ac:dyDescent="0.2">
      <c r="B192" s="592" t="s">
        <v>319</v>
      </c>
      <c r="C192" s="10">
        <v>1200513</v>
      </c>
      <c r="D192" s="130" t="s">
        <v>573</v>
      </c>
      <c r="E192" s="227" t="s">
        <v>574</v>
      </c>
      <c r="F192" s="227" t="s">
        <v>656</v>
      </c>
      <c r="G192" s="21">
        <f>0.05+0.1+0.25+(0.6*0.1)</f>
        <v>0.46</v>
      </c>
      <c r="H192" s="88"/>
      <c r="I192" s="207">
        <v>27.943999999999999</v>
      </c>
      <c r="J192" s="208">
        <v>1.391</v>
      </c>
      <c r="K192" s="208">
        <f>Table3[[#This Row],[CIP Funds (millions)]]-Table3[[#This Row],[TransNet Funds (millions)]]</f>
        <v>26.552999999999997</v>
      </c>
      <c r="L192" s="276" t="s">
        <v>575</v>
      </c>
      <c r="M192" s="276" t="s">
        <v>338</v>
      </c>
      <c r="N192" s="276" t="s">
        <v>765</v>
      </c>
      <c r="O192" s="130"/>
    </row>
    <row r="193" spans="1:15" s="10" customFormat="1" ht="75" x14ac:dyDescent="0.3">
      <c r="B193" s="593"/>
      <c r="C193" s="10">
        <v>1605601</v>
      </c>
      <c r="D193" s="111" t="s">
        <v>576</v>
      </c>
      <c r="E193" s="206" t="s">
        <v>577</v>
      </c>
      <c r="F193" s="206" t="s">
        <v>545</v>
      </c>
      <c r="G193" s="12">
        <v>0</v>
      </c>
      <c r="H193" s="114"/>
      <c r="I193" s="291">
        <v>1.1000000000000001</v>
      </c>
      <c r="J193" s="291">
        <v>0</v>
      </c>
      <c r="K193" s="291">
        <f>Table3[[#This Row],[CIP Funds (millions)]]-Table3[[#This Row],[TransNet Funds (millions)]]</f>
        <v>1.1000000000000001</v>
      </c>
      <c r="L193" s="296" t="s">
        <v>349</v>
      </c>
      <c r="M193" s="296" t="s">
        <v>338</v>
      </c>
      <c r="N193" s="296" t="s">
        <v>765</v>
      </c>
      <c r="O193" s="111"/>
    </row>
    <row r="194" spans="1:15" s="10" customFormat="1" ht="30.75" thickBot="1" x14ac:dyDescent="0.35">
      <c r="B194" s="594"/>
      <c r="C194" s="201" t="s">
        <v>310</v>
      </c>
      <c r="D194" s="15" t="s">
        <v>578</v>
      </c>
      <c r="E194" s="229" t="s">
        <v>579</v>
      </c>
      <c r="F194" s="227" t="s">
        <v>657</v>
      </c>
      <c r="G194" s="12">
        <v>0</v>
      </c>
      <c r="H194" s="51"/>
      <c r="I194" s="72">
        <v>0</v>
      </c>
      <c r="J194" s="72">
        <v>0</v>
      </c>
      <c r="K194" s="13">
        <v>0</v>
      </c>
      <c r="L194" s="37" t="s">
        <v>580</v>
      </c>
      <c r="M194" s="37" t="s">
        <v>338</v>
      </c>
      <c r="N194" s="37" t="s">
        <v>765</v>
      </c>
      <c r="O194" s="15"/>
    </row>
    <row r="195" spans="1:15" s="78" customFormat="1" ht="75" x14ac:dyDescent="0.2">
      <c r="A195" s="69">
        <f>A191+1</f>
        <v>45</v>
      </c>
      <c r="B195" s="382"/>
      <c r="C195" s="202"/>
      <c r="D195" s="138" t="s">
        <v>274</v>
      </c>
      <c r="E195" s="228" t="s">
        <v>303</v>
      </c>
      <c r="F195" s="228" t="s">
        <v>288</v>
      </c>
      <c r="G195" s="70">
        <v>1</v>
      </c>
      <c r="H195" s="137">
        <v>170</v>
      </c>
      <c r="I195" s="362"/>
      <c r="J195" s="357"/>
      <c r="K195" s="357"/>
      <c r="L195" s="138"/>
      <c r="M195" s="138" t="s">
        <v>6</v>
      </c>
      <c r="N195" s="138" t="s">
        <v>6</v>
      </c>
      <c r="O195" s="584" t="s">
        <v>697</v>
      </c>
    </row>
    <row r="196" spans="1:15" s="10" customFormat="1" ht="45" x14ac:dyDescent="0.2">
      <c r="B196" s="590" t="s">
        <v>318</v>
      </c>
      <c r="C196" s="10">
        <v>1201507</v>
      </c>
      <c r="D196" s="111" t="s">
        <v>581</v>
      </c>
      <c r="E196" s="158" t="s">
        <v>582</v>
      </c>
      <c r="F196" s="158" t="s">
        <v>583</v>
      </c>
      <c r="G196" s="12">
        <v>1</v>
      </c>
      <c r="H196" s="82"/>
      <c r="I196" s="311">
        <v>61.673000000000002</v>
      </c>
      <c r="J196" s="291">
        <f>26.529426+11.994</f>
        <v>38.523426000000001</v>
      </c>
      <c r="K196" s="291">
        <f>Table3[[#This Row],[CIP Funds (millions)]]-Table3[[#This Row],[TransNet Funds (millions)]]</f>
        <v>23.149574000000001</v>
      </c>
      <c r="L196" s="296"/>
      <c r="M196" s="296" t="s">
        <v>6</v>
      </c>
      <c r="N196" s="296" t="s">
        <v>6</v>
      </c>
      <c r="O196" s="446" t="s">
        <v>697</v>
      </c>
    </row>
    <row r="197" spans="1:15" s="10" customFormat="1" ht="165.75" thickBot="1" x14ac:dyDescent="0.35">
      <c r="B197" s="591"/>
      <c r="C197" s="10">
        <v>1240001</v>
      </c>
      <c r="D197" s="111" t="s">
        <v>584</v>
      </c>
      <c r="E197" s="206" t="s">
        <v>586</v>
      </c>
      <c r="F197" s="206" t="s">
        <v>585</v>
      </c>
      <c r="G197" s="12">
        <v>1</v>
      </c>
      <c r="H197" s="114"/>
      <c r="I197" s="291">
        <v>44.526000000000003</v>
      </c>
      <c r="J197" s="291">
        <f>21.553166+0.274</f>
        <v>21.827166000000002</v>
      </c>
      <c r="K197" s="291">
        <f>Table3[[#This Row],[CIP Funds (millions)]]-Table3[[#This Row],[TransNet Funds (millions)]]</f>
        <v>22.698834000000002</v>
      </c>
      <c r="L197" s="296"/>
      <c r="M197" s="296" t="s">
        <v>6</v>
      </c>
      <c r="N197" s="296" t="s">
        <v>6</v>
      </c>
      <c r="O197" s="111" t="s">
        <v>667</v>
      </c>
    </row>
    <row r="198" spans="1:15" s="78" customFormat="1" ht="45.75" thickBot="1" x14ac:dyDescent="0.25">
      <c r="A198" s="69">
        <v>46</v>
      </c>
      <c r="B198" s="382"/>
      <c r="C198" s="202"/>
      <c r="D198" s="138" t="s">
        <v>275</v>
      </c>
      <c r="E198" s="228" t="s">
        <v>301</v>
      </c>
      <c r="F198" s="228" t="s">
        <v>320</v>
      </c>
      <c r="G198" s="70">
        <v>0</v>
      </c>
      <c r="H198" s="137">
        <v>25</v>
      </c>
      <c r="I198" s="362">
        <v>0</v>
      </c>
      <c r="J198" s="357">
        <v>0</v>
      </c>
      <c r="K198" s="357">
        <v>0</v>
      </c>
      <c r="L198" s="138" t="s">
        <v>307</v>
      </c>
      <c r="M198" s="138" t="s">
        <v>374</v>
      </c>
      <c r="N198" s="138"/>
      <c r="O198" s="123"/>
    </row>
    <row r="199" spans="1:15" s="78" customFormat="1" ht="45" x14ac:dyDescent="0.2">
      <c r="A199" s="69">
        <v>47</v>
      </c>
      <c r="B199" s="382"/>
      <c r="C199" s="202"/>
      <c r="D199" s="138" t="s">
        <v>276</v>
      </c>
      <c r="E199" s="228" t="s">
        <v>304</v>
      </c>
      <c r="F199" s="228" t="s">
        <v>289</v>
      </c>
      <c r="G199" s="494">
        <f>(0.5*1)+(0.5*G211)</f>
        <v>0.625</v>
      </c>
      <c r="H199" s="137">
        <v>25</v>
      </c>
      <c r="I199" s="362"/>
      <c r="J199" s="357"/>
      <c r="K199" s="357"/>
      <c r="L199" s="138"/>
      <c r="M199" s="585" t="s">
        <v>776</v>
      </c>
      <c r="N199" s="138" t="s">
        <v>375</v>
      </c>
      <c r="O199" s="123"/>
    </row>
    <row r="200" spans="1:15" s="10" customFormat="1" ht="45" x14ac:dyDescent="0.2">
      <c r="B200" s="590" t="s">
        <v>318</v>
      </c>
      <c r="C200" s="4">
        <v>1201102</v>
      </c>
      <c r="D200" s="446" t="s">
        <v>588</v>
      </c>
      <c r="E200" s="158" t="s">
        <v>589</v>
      </c>
      <c r="F200" s="158" t="s">
        <v>590</v>
      </c>
      <c r="G200" s="12">
        <v>1</v>
      </c>
      <c r="H200" s="82"/>
      <c r="I200" s="311">
        <v>65.56</v>
      </c>
      <c r="J200" s="291">
        <v>0</v>
      </c>
      <c r="K200" s="291">
        <f>Table3[[#This Row],[CIP Funds (millions)]]-Table3[[#This Row],[TransNet Funds (millions)]]</f>
        <v>65.56</v>
      </c>
      <c r="L200" s="296"/>
      <c r="M200" s="296" t="s">
        <v>6</v>
      </c>
      <c r="N200" s="296" t="s">
        <v>6</v>
      </c>
      <c r="O200" s="446" t="s">
        <v>697</v>
      </c>
    </row>
    <row r="201" spans="1:15" s="10" customFormat="1" ht="60" x14ac:dyDescent="0.2">
      <c r="B201" s="597"/>
      <c r="C201" s="4">
        <v>1201103</v>
      </c>
      <c r="D201" s="37" t="s">
        <v>591</v>
      </c>
      <c r="E201" s="158" t="s">
        <v>596</v>
      </c>
      <c r="F201" s="158" t="s">
        <v>595</v>
      </c>
      <c r="G201" s="12">
        <v>1</v>
      </c>
      <c r="H201" s="14"/>
      <c r="I201" s="311">
        <v>127.76900000000001</v>
      </c>
      <c r="J201" s="291">
        <v>0</v>
      </c>
      <c r="K201" s="291">
        <f>Table3[[#This Row],[CIP Funds (millions)]]-Table3[[#This Row],[TransNet Funds (millions)]]</f>
        <v>127.76900000000001</v>
      </c>
      <c r="L201" s="37"/>
      <c r="M201" s="37" t="s">
        <v>767</v>
      </c>
      <c r="N201" s="37" t="s">
        <v>768</v>
      </c>
      <c r="O201" s="15"/>
    </row>
    <row r="202" spans="1:15" s="10" customFormat="1" ht="30" x14ac:dyDescent="0.2">
      <c r="B202" s="597"/>
      <c r="C202" s="4">
        <v>1201104</v>
      </c>
      <c r="D202" s="37" t="s">
        <v>592</v>
      </c>
      <c r="E202" s="158" t="s">
        <v>594</v>
      </c>
      <c r="F202" s="158" t="s">
        <v>593</v>
      </c>
      <c r="G202" s="12">
        <v>1</v>
      </c>
      <c r="H202" s="14"/>
      <c r="I202" s="311">
        <v>22.995000000000001</v>
      </c>
      <c r="J202" s="291">
        <v>0</v>
      </c>
      <c r="K202" s="291">
        <f>Table3[[#This Row],[CIP Funds (millions)]]-Table3[[#This Row],[TransNet Funds (millions)]]</f>
        <v>22.995000000000001</v>
      </c>
      <c r="L202" s="37"/>
      <c r="M202" s="37" t="s">
        <v>767</v>
      </c>
      <c r="N202" s="37" t="s">
        <v>768</v>
      </c>
      <c r="O202" s="15"/>
    </row>
    <row r="203" spans="1:15" s="10" customFormat="1" ht="45" x14ac:dyDescent="0.2">
      <c r="B203" s="597"/>
      <c r="C203" s="4">
        <v>1201105</v>
      </c>
      <c r="D203" s="37" t="s">
        <v>597</v>
      </c>
      <c r="E203" s="158" t="s">
        <v>599</v>
      </c>
      <c r="F203" s="158" t="s">
        <v>598</v>
      </c>
      <c r="G203" s="12">
        <v>1</v>
      </c>
      <c r="H203" s="14"/>
      <c r="I203" s="311">
        <v>4.3</v>
      </c>
      <c r="J203" s="291">
        <v>1.8</v>
      </c>
      <c r="K203" s="291">
        <f>Table3[[#This Row],[CIP Funds (millions)]]-Table3[[#This Row],[TransNet Funds (millions)]]</f>
        <v>2.5</v>
      </c>
      <c r="L203" s="37" t="s">
        <v>771</v>
      </c>
      <c r="M203" s="37" t="s">
        <v>767</v>
      </c>
      <c r="N203" s="37" t="s">
        <v>768</v>
      </c>
      <c r="O203" s="15"/>
    </row>
    <row r="204" spans="1:15" s="10" customFormat="1" ht="75" x14ac:dyDescent="0.3">
      <c r="B204" s="597"/>
      <c r="C204" s="4">
        <v>1201106</v>
      </c>
      <c r="D204" s="446" t="s">
        <v>611</v>
      </c>
      <c r="E204" s="206" t="s">
        <v>613</v>
      </c>
      <c r="F204" s="206" t="s">
        <v>612</v>
      </c>
      <c r="G204" s="12">
        <v>1</v>
      </c>
      <c r="H204" s="114"/>
      <c r="I204" s="291">
        <v>9.1419999999999995</v>
      </c>
      <c r="J204" s="291">
        <v>0</v>
      </c>
      <c r="K204" s="291">
        <f>Table3[[#This Row],[CIP Funds (millions)]]-Table3[[#This Row],[TransNet Funds (millions)]]</f>
        <v>9.1419999999999995</v>
      </c>
      <c r="L204" s="296"/>
      <c r="M204" s="296" t="s">
        <v>769</v>
      </c>
      <c r="N204" s="296" t="s">
        <v>770</v>
      </c>
      <c r="O204" s="15"/>
    </row>
    <row r="205" spans="1:15" s="10" customFormat="1" ht="45" x14ac:dyDescent="0.2">
      <c r="B205" s="597"/>
      <c r="C205" s="4">
        <v>1300601</v>
      </c>
      <c r="D205" s="37" t="s">
        <v>600</v>
      </c>
      <c r="E205" s="158" t="s">
        <v>601</v>
      </c>
      <c r="F205" s="158" t="s">
        <v>602</v>
      </c>
      <c r="G205" s="12">
        <v>1</v>
      </c>
      <c r="H205" s="14"/>
      <c r="I205" s="311">
        <v>40.35</v>
      </c>
      <c r="J205" s="291">
        <v>4.8020040000000002</v>
      </c>
      <c r="K205" s="291">
        <f>Table3[[#This Row],[CIP Funds (millions)]]-Table3[[#This Row],[TransNet Funds (millions)]]</f>
        <v>35.547995999999998</v>
      </c>
      <c r="L205" s="37"/>
      <c r="M205" s="37" t="s">
        <v>6</v>
      </c>
      <c r="N205" s="37" t="s">
        <v>6</v>
      </c>
      <c r="O205" s="37" t="s">
        <v>773</v>
      </c>
    </row>
    <row r="206" spans="1:15" s="10" customFormat="1" ht="45" x14ac:dyDescent="0.2">
      <c r="B206" s="597"/>
      <c r="C206" s="4">
        <v>1300602</v>
      </c>
      <c r="D206" s="15" t="s">
        <v>614</v>
      </c>
      <c r="E206" s="158" t="s">
        <v>616</v>
      </c>
      <c r="F206" s="158" t="s">
        <v>615</v>
      </c>
      <c r="G206" s="12">
        <v>1</v>
      </c>
      <c r="H206" s="14"/>
      <c r="I206" s="311">
        <v>47.231000000000002</v>
      </c>
      <c r="J206" s="291">
        <f>0.258+7.07+0.39</f>
        <v>7.718</v>
      </c>
      <c r="K206" s="291">
        <f>Table3[[#This Row],[CIP Funds (millions)]]-Table3[[#This Row],[TransNet Funds (millions)]]</f>
        <v>39.513000000000005</v>
      </c>
      <c r="L206" s="37"/>
      <c r="M206" s="37" t="s">
        <v>6</v>
      </c>
      <c r="N206" s="37" t="s">
        <v>6</v>
      </c>
      <c r="O206" s="37" t="s">
        <v>693</v>
      </c>
    </row>
    <row r="207" spans="1:15" s="10" customFormat="1" ht="30" x14ac:dyDescent="0.2">
      <c r="B207" s="597"/>
      <c r="C207" s="4">
        <v>1390501</v>
      </c>
      <c r="D207" s="37" t="s">
        <v>603</v>
      </c>
      <c r="E207" s="158" t="s">
        <v>605</v>
      </c>
      <c r="F207" s="158" t="s">
        <v>604</v>
      </c>
      <c r="G207" s="12">
        <v>1</v>
      </c>
      <c r="H207" s="14"/>
      <c r="I207" s="311">
        <v>85.637</v>
      </c>
      <c r="J207" s="291">
        <f>0.851+0.731</f>
        <v>1.5819999999999999</v>
      </c>
      <c r="K207" s="291">
        <f>Table3[[#This Row],[CIP Funds (millions)]]-Table3[[#This Row],[TransNet Funds (millions)]]</f>
        <v>84.055000000000007</v>
      </c>
      <c r="L207" s="37"/>
      <c r="M207" s="37" t="s">
        <v>6</v>
      </c>
      <c r="N207" s="37" t="s">
        <v>6</v>
      </c>
      <c r="O207" s="15" t="s">
        <v>667</v>
      </c>
    </row>
    <row r="208" spans="1:15" s="10" customFormat="1" x14ac:dyDescent="0.2">
      <c r="B208" s="597"/>
      <c r="C208" s="4">
        <v>1390502</v>
      </c>
      <c r="D208" s="37" t="s">
        <v>620</v>
      </c>
      <c r="E208" s="158" t="s">
        <v>621</v>
      </c>
      <c r="F208" s="158" t="s">
        <v>622</v>
      </c>
      <c r="G208" s="12">
        <v>1</v>
      </c>
      <c r="H208" s="14"/>
      <c r="I208" s="311">
        <v>17.372</v>
      </c>
      <c r="J208" s="291">
        <v>0</v>
      </c>
      <c r="K208" s="291">
        <f>Table3[[#This Row],[CIP Funds (millions)]]-Table3[[#This Row],[TransNet Funds (millions)]]</f>
        <v>17.372</v>
      </c>
      <c r="L208" s="37"/>
      <c r="M208" s="37" t="s">
        <v>6</v>
      </c>
      <c r="N208" s="37" t="s">
        <v>6</v>
      </c>
      <c r="O208" s="15" t="s">
        <v>667</v>
      </c>
    </row>
    <row r="209" spans="1:15" s="10" customFormat="1" ht="30" x14ac:dyDescent="0.2">
      <c r="B209" s="597"/>
      <c r="C209" s="4">
        <v>1390505</v>
      </c>
      <c r="D209" s="37" t="s">
        <v>623</v>
      </c>
      <c r="E209" s="158" t="s">
        <v>619</v>
      </c>
      <c r="F209" s="158" t="s">
        <v>624</v>
      </c>
      <c r="G209" s="12">
        <v>1</v>
      </c>
      <c r="H209" s="14"/>
      <c r="I209" s="311">
        <v>7.5</v>
      </c>
      <c r="J209" s="291">
        <v>0</v>
      </c>
      <c r="K209" s="291">
        <f>Table3[[#This Row],[CIP Funds (millions)]]-Table3[[#This Row],[TransNet Funds (millions)]]</f>
        <v>7.5</v>
      </c>
      <c r="L209" s="37" t="s">
        <v>772</v>
      </c>
      <c r="M209" s="37" t="s">
        <v>767</v>
      </c>
      <c r="N209" s="37" t="s">
        <v>768</v>
      </c>
      <c r="O209" s="15"/>
    </row>
    <row r="210" spans="1:15" s="364" customFormat="1" ht="30.75" thickBot="1" x14ac:dyDescent="0.25">
      <c r="B210" s="598"/>
      <c r="C210" s="491">
        <v>1390506</v>
      </c>
      <c r="D210" s="437" t="s">
        <v>606</v>
      </c>
      <c r="E210" s="462" t="s">
        <v>608</v>
      </c>
      <c r="F210" s="462" t="s">
        <v>607</v>
      </c>
      <c r="G210" s="492">
        <v>1</v>
      </c>
      <c r="H210" s="436"/>
      <c r="I210" s="402">
        <v>28.992000000000001</v>
      </c>
      <c r="J210" s="403">
        <v>0</v>
      </c>
      <c r="K210" s="403">
        <f>Table3[[#This Row],[CIP Funds (millions)]]-Table3[[#This Row],[TransNet Funds (millions)]]</f>
        <v>28.992000000000001</v>
      </c>
      <c r="L210" s="437"/>
      <c r="M210" s="437" t="s">
        <v>774</v>
      </c>
      <c r="N210" s="437" t="s">
        <v>775</v>
      </c>
      <c r="O210" s="372"/>
    </row>
    <row r="211" spans="1:15" s="10" customFormat="1" ht="150.75" thickBot="1" x14ac:dyDescent="0.25">
      <c r="B211" s="165" t="s">
        <v>319</v>
      </c>
      <c r="C211" s="4">
        <v>1201101</v>
      </c>
      <c r="D211" s="270" t="s">
        <v>609</v>
      </c>
      <c r="E211" s="227" t="s">
        <v>599</v>
      </c>
      <c r="F211" s="227" t="s">
        <v>610</v>
      </c>
      <c r="G211" s="21">
        <f>0.05+0.1+(0.25*0.4)</f>
        <v>0.25</v>
      </c>
      <c r="H211" s="88"/>
      <c r="I211" s="207">
        <v>614.60199999999998</v>
      </c>
      <c r="J211" s="208">
        <f>29.873+1.825+9.141</f>
        <v>40.838999999999999</v>
      </c>
      <c r="K211" s="208">
        <f>Table3[[#This Row],[CIP Funds (millions)]]-Table3[[#This Row],[TransNet Funds (millions)]]</f>
        <v>573.76299999999992</v>
      </c>
      <c r="L211" s="276" t="s">
        <v>766</v>
      </c>
      <c r="M211" s="276" t="s">
        <v>339</v>
      </c>
      <c r="N211" s="276" t="s">
        <v>375</v>
      </c>
      <c r="O211" s="130"/>
    </row>
    <row r="212" spans="1:15" s="153" customFormat="1" ht="15.75" thickBot="1" x14ac:dyDescent="0.25">
      <c r="A212" s="56">
        <v>48</v>
      </c>
      <c r="B212" s="381"/>
      <c r="C212" s="200"/>
      <c r="D212" s="160" t="s">
        <v>277</v>
      </c>
      <c r="E212" s="231" t="s">
        <v>302</v>
      </c>
      <c r="F212" s="231" t="s">
        <v>290</v>
      </c>
      <c r="G212" s="57">
        <v>1</v>
      </c>
      <c r="H212" s="68" t="s">
        <v>6</v>
      </c>
      <c r="I212" s="359"/>
      <c r="J212" s="360"/>
      <c r="K212" s="360"/>
      <c r="L212" s="160"/>
      <c r="M212" s="160" t="s">
        <v>6</v>
      </c>
      <c r="N212" s="160" t="s">
        <v>6</v>
      </c>
      <c r="O212" s="161" t="s">
        <v>667</v>
      </c>
    </row>
    <row r="213" spans="1:15" s="10" customFormat="1" x14ac:dyDescent="0.2">
      <c r="B213" s="599" t="s">
        <v>318</v>
      </c>
      <c r="C213" s="4">
        <v>1390502</v>
      </c>
      <c r="D213" s="37" t="s">
        <v>620</v>
      </c>
      <c r="E213" s="158" t="s">
        <v>621</v>
      </c>
      <c r="F213" s="158" t="s">
        <v>622</v>
      </c>
      <c r="G213" s="12">
        <v>1</v>
      </c>
      <c r="H213" s="14"/>
      <c r="I213" s="311">
        <v>17.372</v>
      </c>
      <c r="J213" s="291">
        <v>0</v>
      </c>
      <c r="K213" s="291">
        <f>Table3[[#This Row],[CIP Funds (millions)]]-Table3[[#This Row],[TransNet Funds (millions)]]</f>
        <v>17.372</v>
      </c>
      <c r="L213" s="37"/>
      <c r="M213" s="37" t="s">
        <v>6</v>
      </c>
      <c r="N213" s="37" t="s">
        <v>6</v>
      </c>
      <c r="O213" s="15" t="s">
        <v>667</v>
      </c>
    </row>
    <row r="214" spans="1:15" s="505" customFormat="1" ht="45" x14ac:dyDescent="0.2">
      <c r="A214" s="10"/>
      <c r="B214" s="600"/>
      <c r="C214" s="506">
        <v>1390504</v>
      </c>
      <c r="D214" s="37" t="s">
        <v>617</v>
      </c>
      <c r="E214" s="158" t="s">
        <v>619</v>
      </c>
      <c r="F214" s="158" t="s">
        <v>618</v>
      </c>
      <c r="G214" s="12">
        <v>1</v>
      </c>
      <c r="H214" s="14"/>
      <c r="I214" s="311">
        <v>18.757000000000001</v>
      </c>
      <c r="J214" s="291">
        <v>2.7</v>
      </c>
      <c r="K214" s="291">
        <f>Table3[[#This Row],[CIP Funds (millions)]]-Table3[[#This Row],[TransNet Funds (millions)]]</f>
        <v>16.057000000000002</v>
      </c>
      <c r="L214" s="37"/>
      <c r="M214" s="37" t="s">
        <v>6</v>
      </c>
      <c r="N214" s="37" t="s">
        <v>6</v>
      </c>
      <c r="O214" s="37" t="s">
        <v>777</v>
      </c>
    </row>
    <row r="215" spans="1:15" s="17" customFormat="1" ht="15.75" thickBot="1" x14ac:dyDescent="0.25">
      <c r="B215" s="601"/>
      <c r="C215" s="493">
        <v>3312100</v>
      </c>
      <c r="D215" s="188" t="s">
        <v>625</v>
      </c>
      <c r="E215" s="504" t="s">
        <v>626</v>
      </c>
      <c r="F215" s="504" t="s">
        <v>290</v>
      </c>
      <c r="G215" s="26">
        <v>1</v>
      </c>
      <c r="H215" s="497"/>
      <c r="I215" s="313" t="s">
        <v>0</v>
      </c>
      <c r="J215" s="313" t="s">
        <v>0</v>
      </c>
      <c r="K215" s="314" t="s">
        <v>0</v>
      </c>
      <c r="L215" s="188"/>
      <c r="M215" s="188" t="s">
        <v>6</v>
      </c>
      <c r="N215" s="188" t="s">
        <v>6</v>
      </c>
      <c r="O215" s="27" t="s">
        <v>667</v>
      </c>
    </row>
    <row r="216" spans="1:15" x14ac:dyDescent="0.3">
      <c r="D216" s="23"/>
      <c r="E216" s="23"/>
      <c r="F216" s="24"/>
      <c r="G216" s="49"/>
      <c r="H216" s="21"/>
      <c r="I216" s="21"/>
      <c r="J216" s="49"/>
      <c r="K216" s="167"/>
      <c r="L216" s="308"/>
      <c r="M216" s="308"/>
      <c r="N216" s="308"/>
      <c r="O216" s="167"/>
    </row>
    <row r="217" spans="1:15" x14ac:dyDescent="0.3">
      <c r="D217" s="15"/>
      <c r="E217" s="15"/>
      <c r="F217" s="37"/>
      <c r="G217" s="52"/>
      <c r="H217" s="12"/>
      <c r="I217" s="12"/>
      <c r="J217" s="52"/>
      <c r="K217" s="54"/>
      <c r="L217" s="309"/>
      <c r="M217" s="309"/>
      <c r="N217" s="309"/>
      <c r="O217" s="54"/>
    </row>
    <row r="218" spans="1:15" x14ac:dyDescent="0.3">
      <c r="D218" s="15"/>
      <c r="E218" s="15"/>
      <c r="F218" s="37"/>
      <c r="G218" s="52"/>
      <c r="H218" s="12"/>
      <c r="I218" s="12"/>
      <c r="J218" s="52"/>
      <c r="K218" s="54"/>
      <c r="L218" s="309"/>
      <c r="M218" s="309"/>
      <c r="N218" s="309"/>
      <c r="O218" s="54"/>
    </row>
    <row r="219" spans="1:15" x14ac:dyDescent="0.3">
      <c r="D219" s="15"/>
      <c r="F219" s="15"/>
      <c r="G219" s="52"/>
      <c r="H219" s="12"/>
      <c r="I219" s="12"/>
      <c r="J219" s="52"/>
      <c r="K219" s="54"/>
      <c r="L219" s="309"/>
      <c r="M219" s="309"/>
      <c r="N219" s="309"/>
      <c r="O219" s="54"/>
    </row>
    <row r="220" spans="1:15" x14ac:dyDescent="0.3">
      <c r="D220" s="15"/>
      <c r="E220" s="15"/>
      <c r="F220" s="37"/>
      <c r="G220" s="52"/>
      <c r="H220" s="12"/>
      <c r="I220" s="12"/>
      <c r="J220" s="52"/>
      <c r="K220" s="54"/>
      <c r="L220" s="309"/>
      <c r="M220" s="309"/>
      <c r="N220" s="309"/>
      <c r="O220" s="54"/>
    </row>
    <row r="221" spans="1:15" x14ac:dyDescent="0.3">
      <c r="D221" s="15"/>
      <c r="E221" s="15"/>
      <c r="F221" s="37"/>
      <c r="G221" s="52"/>
      <c r="H221" s="12"/>
      <c r="I221" s="12"/>
      <c r="J221" s="52"/>
      <c r="K221" s="54"/>
      <c r="L221" s="309"/>
      <c r="M221" s="309"/>
      <c r="N221" s="309"/>
      <c r="O221" s="54"/>
    </row>
    <row r="222" spans="1:15" x14ac:dyDescent="0.3">
      <c r="D222" s="15"/>
      <c r="E222" s="15"/>
      <c r="F222" s="37"/>
      <c r="G222" s="37"/>
      <c r="H222" s="12"/>
      <c r="I222" s="12"/>
      <c r="J222" s="52"/>
      <c r="K222" s="54"/>
      <c r="L222" s="309"/>
      <c r="M222" s="309"/>
      <c r="N222" s="309"/>
      <c r="O222" s="54"/>
    </row>
    <row r="223" spans="1:15" x14ac:dyDescent="0.3">
      <c r="D223" s="15"/>
      <c r="E223" s="15"/>
      <c r="G223" s="52"/>
      <c r="H223" s="12"/>
      <c r="I223" s="12"/>
      <c r="J223" s="52"/>
      <c r="K223" s="54"/>
      <c r="L223" s="309"/>
      <c r="M223" s="309"/>
      <c r="N223" s="309"/>
      <c r="O223" s="54"/>
    </row>
    <row r="224" spans="1:15" x14ac:dyDescent="0.3">
      <c r="D224" s="15"/>
      <c r="E224" s="15"/>
      <c r="F224" s="37"/>
      <c r="G224" s="52"/>
      <c r="H224" s="12"/>
      <c r="I224" s="12"/>
      <c r="J224" s="52"/>
      <c r="K224" s="54"/>
      <c r="L224" s="309"/>
      <c r="M224" s="309"/>
      <c r="N224" s="309"/>
      <c r="O224" s="54"/>
    </row>
    <row r="225" spans="4:15" x14ac:dyDescent="0.3">
      <c r="D225" s="15"/>
      <c r="E225" s="15"/>
      <c r="F225" s="37"/>
      <c r="G225" s="52"/>
      <c r="H225" s="12"/>
      <c r="I225" s="12"/>
      <c r="J225" s="52"/>
      <c r="K225" s="54"/>
      <c r="L225" s="309"/>
      <c r="M225" s="309"/>
      <c r="N225" s="309"/>
      <c r="O225" s="54"/>
    </row>
    <row r="226" spans="4:15" x14ac:dyDescent="0.3">
      <c r="D226" s="15"/>
      <c r="E226" s="15"/>
      <c r="F226" s="37"/>
      <c r="G226" s="52"/>
      <c r="H226" s="12"/>
      <c r="I226" s="12"/>
      <c r="J226" s="52"/>
      <c r="K226" s="54"/>
      <c r="L226" s="309"/>
      <c r="M226" s="309"/>
      <c r="N226" s="309"/>
      <c r="O226" s="54"/>
    </row>
    <row r="227" spans="4:15" x14ac:dyDescent="0.3">
      <c r="D227" s="15"/>
      <c r="E227" s="15"/>
      <c r="F227" s="37"/>
      <c r="G227" s="52"/>
      <c r="H227" s="12"/>
      <c r="I227" s="12"/>
      <c r="J227" s="52"/>
      <c r="K227" s="54"/>
      <c r="L227" s="309"/>
      <c r="M227" s="309"/>
      <c r="N227" s="309"/>
      <c r="O227" s="54"/>
    </row>
    <row r="228" spans="4:15" x14ac:dyDescent="0.3">
      <c r="D228" s="15"/>
      <c r="E228" s="15"/>
      <c r="F228" s="37"/>
      <c r="G228" s="52"/>
      <c r="H228" s="12"/>
      <c r="I228" s="12"/>
      <c r="J228" s="52"/>
      <c r="K228" s="54"/>
      <c r="L228" s="309"/>
      <c r="M228" s="309"/>
      <c r="N228" s="309"/>
      <c r="O228" s="54"/>
    </row>
    <row r="229" spans="4:15" x14ac:dyDescent="0.3">
      <c r="D229" s="15"/>
      <c r="E229" s="15"/>
      <c r="F229" s="37"/>
      <c r="G229" s="52"/>
      <c r="H229" s="12"/>
      <c r="I229" s="12"/>
      <c r="J229" s="52"/>
      <c r="K229" s="54"/>
      <c r="L229" s="309"/>
      <c r="M229" s="309"/>
      <c r="N229" s="309"/>
      <c r="O229" s="54"/>
    </row>
    <row r="230" spans="4:15" x14ac:dyDescent="0.3">
      <c r="D230" s="15"/>
      <c r="E230" s="15"/>
      <c r="F230" s="37"/>
      <c r="G230" s="52"/>
      <c r="H230" s="12"/>
      <c r="I230" s="12"/>
      <c r="J230" s="52"/>
      <c r="K230" s="54"/>
      <c r="L230" s="309"/>
      <c r="M230" s="309"/>
      <c r="N230" s="309"/>
      <c r="O230" s="54"/>
    </row>
    <row r="231" spans="4:15" x14ac:dyDescent="0.3">
      <c r="D231" s="15"/>
      <c r="E231" s="15"/>
      <c r="F231" s="37"/>
      <c r="G231" s="52"/>
      <c r="H231" s="12"/>
      <c r="I231" s="12"/>
      <c r="J231" s="52"/>
      <c r="K231" s="54"/>
      <c r="L231" s="309"/>
      <c r="M231" s="309"/>
      <c r="N231" s="309"/>
      <c r="O231" s="54"/>
    </row>
    <row r="232" spans="4:15" x14ac:dyDescent="0.3">
      <c r="D232" s="15"/>
      <c r="E232" s="15"/>
      <c r="F232" s="37"/>
      <c r="G232" s="52"/>
      <c r="H232" s="12"/>
      <c r="I232" s="12"/>
      <c r="J232" s="52"/>
      <c r="K232" s="54"/>
      <c r="L232" s="309"/>
      <c r="M232" s="309"/>
      <c r="N232" s="309"/>
      <c r="O232" s="54"/>
    </row>
    <row r="233" spans="4:15" x14ac:dyDescent="0.3">
      <c r="D233" s="15"/>
      <c r="E233" s="15"/>
      <c r="F233" s="37"/>
      <c r="G233" s="52"/>
      <c r="H233" s="12"/>
      <c r="I233" s="12"/>
      <c r="J233" s="52"/>
      <c r="K233" s="54"/>
      <c r="L233" s="309"/>
      <c r="M233" s="309"/>
      <c r="N233" s="309"/>
      <c r="O233" s="54"/>
    </row>
    <row r="234" spans="4:15" x14ac:dyDescent="0.3">
      <c r="D234" s="15"/>
      <c r="E234" s="15"/>
      <c r="F234" s="37"/>
      <c r="G234" s="52"/>
      <c r="H234" s="12"/>
      <c r="I234" s="12"/>
      <c r="J234" s="52"/>
      <c r="K234" s="54"/>
      <c r="L234" s="309"/>
      <c r="M234" s="309"/>
      <c r="N234" s="309"/>
      <c r="O234" s="54"/>
    </row>
    <row r="235" spans="4:15" x14ac:dyDescent="0.3">
      <c r="D235" s="15"/>
      <c r="E235" s="15"/>
      <c r="F235" s="37"/>
      <c r="G235" s="52"/>
      <c r="H235" s="12"/>
      <c r="I235" s="12"/>
      <c r="J235" s="52"/>
      <c r="K235" s="54"/>
      <c r="L235" s="309"/>
      <c r="M235" s="309"/>
      <c r="N235" s="309"/>
      <c r="O235" s="54"/>
    </row>
    <row r="236" spans="4:15" x14ac:dyDescent="0.3">
      <c r="D236" s="15"/>
      <c r="E236" s="15"/>
      <c r="F236" s="37"/>
      <c r="G236" s="52"/>
      <c r="H236" s="12"/>
      <c r="I236" s="12"/>
      <c r="J236" s="52"/>
      <c r="K236" s="54"/>
      <c r="L236" s="309"/>
      <c r="M236" s="309"/>
      <c r="N236" s="309"/>
      <c r="O236" s="54"/>
    </row>
    <row r="237" spans="4:15" x14ac:dyDescent="0.3">
      <c r="D237" s="15"/>
      <c r="E237" s="15"/>
      <c r="F237" s="37"/>
      <c r="G237" s="52"/>
      <c r="H237" s="12"/>
      <c r="I237" s="12"/>
      <c r="J237" s="52"/>
      <c r="K237" s="54"/>
      <c r="L237" s="309"/>
      <c r="M237" s="309"/>
      <c r="N237" s="309"/>
      <c r="O237" s="54"/>
    </row>
    <row r="238" spans="4:15" x14ac:dyDescent="0.3">
      <c r="D238" s="15"/>
      <c r="E238" s="15"/>
      <c r="F238" s="37"/>
      <c r="G238" s="52"/>
      <c r="H238" s="12"/>
      <c r="I238" s="12"/>
      <c r="J238" s="52"/>
      <c r="K238" s="54"/>
      <c r="L238" s="309"/>
      <c r="M238" s="309"/>
      <c r="N238" s="309"/>
      <c r="O238" s="54"/>
    </row>
    <row r="239" spans="4:15" x14ac:dyDescent="0.3">
      <c r="D239" s="15"/>
      <c r="E239" s="15"/>
      <c r="F239" s="37"/>
      <c r="G239" s="52"/>
      <c r="H239" s="12"/>
      <c r="I239" s="12"/>
      <c r="J239" s="52"/>
      <c r="K239" s="54"/>
      <c r="L239" s="309"/>
      <c r="M239" s="309"/>
      <c r="N239" s="309"/>
      <c r="O239" s="54"/>
    </row>
    <row r="240" spans="4:15" x14ac:dyDescent="0.3">
      <c r="D240" s="15"/>
      <c r="E240" s="15"/>
      <c r="F240" s="37"/>
      <c r="G240" s="52"/>
      <c r="H240" s="12"/>
      <c r="I240" s="12"/>
      <c r="J240" s="52"/>
      <c r="K240" s="54"/>
      <c r="L240" s="309"/>
      <c r="M240" s="309"/>
      <c r="N240" s="309"/>
      <c r="O240" s="54"/>
    </row>
    <row r="241" spans="4:15" x14ac:dyDescent="0.3">
      <c r="D241" s="15"/>
      <c r="E241" s="15"/>
      <c r="F241" s="37"/>
      <c r="G241" s="52"/>
      <c r="H241" s="12"/>
      <c r="I241" s="12"/>
      <c r="J241" s="52"/>
      <c r="K241" s="54"/>
      <c r="L241" s="309"/>
      <c r="M241" s="309"/>
      <c r="N241" s="309"/>
      <c r="O241" s="54"/>
    </row>
    <row r="242" spans="4:15" x14ac:dyDescent="0.3">
      <c r="D242" s="15"/>
      <c r="E242" s="15"/>
      <c r="F242" s="37"/>
      <c r="G242" s="52"/>
      <c r="H242" s="12"/>
      <c r="I242" s="12"/>
      <c r="J242" s="52"/>
      <c r="K242" s="54"/>
      <c r="L242" s="309"/>
      <c r="M242" s="309"/>
      <c r="N242" s="309"/>
      <c r="O242" s="54"/>
    </row>
    <row r="243" spans="4:15" x14ac:dyDescent="0.3">
      <c r="D243" s="15"/>
      <c r="E243" s="15"/>
      <c r="F243" s="37"/>
      <c r="G243" s="52"/>
      <c r="H243" s="12"/>
      <c r="I243" s="12"/>
      <c r="J243" s="52"/>
      <c r="K243" s="54"/>
      <c r="L243" s="309"/>
      <c r="M243" s="309"/>
      <c r="N243" s="309"/>
      <c r="O243" s="54"/>
    </row>
    <row r="244" spans="4:15" x14ac:dyDescent="0.3">
      <c r="D244" s="15"/>
      <c r="E244" s="15"/>
      <c r="F244" s="37"/>
      <c r="G244" s="52"/>
      <c r="H244" s="12"/>
      <c r="I244" s="12"/>
      <c r="J244" s="52"/>
      <c r="K244" s="54"/>
      <c r="L244" s="309"/>
      <c r="M244" s="309"/>
      <c r="N244" s="309"/>
      <c r="O244" s="54"/>
    </row>
    <row r="245" spans="4:15" x14ac:dyDescent="0.3">
      <c r="D245" s="15"/>
      <c r="E245" s="15"/>
      <c r="F245" s="37"/>
      <c r="G245" s="52"/>
      <c r="H245" s="12"/>
      <c r="I245" s="12"/>
      <c r="J245" s="52"/>
      <c r="K245" s="54"/>
      <c r="L245" s="309"/>
      <c r="M245" s="309"/>
      <c r="N245" s="309"/>
      <c r="O245" s="54"/>
    </row>
    <row r="246" spans="4:15" x14ac:dyDescent="0.3">
      <c r="D246" s="15"/>
      <c r="E246" s="15"/>
      <c r="F246" s="37"/>
      <c r="G246" s="52"/>
      <c r="H246" s="12"/>
      <c r="I246" s="12"/>
      <c r="J246" s="52"/>
      <c r="K246" s="54"/>
      <c r="L246" s="309"/>
      <c r="M246" s="309"/>
      <c r="N246" s="309"/>
      <c r="O246" s="54"/>
    </row>
    <row r="247" spans="4:15" x14ac:dyDescent="0.3">
      <c r="D247" s="15"/>
      <c r="E247" s="15"/>
      <c r="F247" s="37"/>
      <c r="G247" s="52"/>
      <c r="H247" s="12"/>
      <c r="I247" s="12"/>
      <c r="J247" s="52"/>
      <c r="K247" s="54"/>
      <c r="L247" s="309"/>
      <c r="M247" s="309"/>
      <c r="N247" s="309"/>
      <c r="O247" s="54"/>
    </row>
    <row r="248" spans="4:15" x14ac:dyDescent="0.3">
      <c r="D248" s="15"/>
      <c r="E248" s="15"/>
      <c r="F248" s="37"/>
      <c r="G248" s="52"/>
      <c r="H248" s="12"/>
      <c r="I248" s="12"/>
      <c r="J248" s="52"/>
      <c r="K248" s="54"/>
      <c r="L248" s="309"/>
      <c r="M248" s="309"/>
      <c r="N248" s="309"/>
      <c r="O248" s="54"/>
    </row>
    <row r="249" spans="4:15" x14ac:dyDescent="0.3">
      <c r="D249" s="15"/>
      <c r="E249" s="15"/>
      <c r="F249" s="37"/>
      <c r="G249" s="52"/>
      <c r="H249" s="12"/>
      <c r="I249" s="12"/>
      <c r="J249" s="52"/>
      <c r="K249" s="54"/>
      <c r="L249" s="309"/>
      <c r="M249" s="309"/>
      <c r="N249" s="309"/>
      <c r="O249" s="54"/>
    </row>
    <row r="250" spans="4:15" x14ac:dyDescent="0.3">
      <c r="D250" s="15"/>
      <c r="E250" s="15"/>
      <c r="F250" s="37"/>
      <c r="G250" s="52"/>
      <c r="H250" s="12"/>
      <c r="I250" s="12"/>
      <c r="J250" s="52"/>
      <c r="K250" s="54"/>
      <c r="L250" s="309"/>
      <c r="M250" s="309"/>
      <c r="N250" s="309"/>
      <c r="O250" s="54"/>
    </row>
    <row r="251" spans="4:15" x14ac:dyDescent="0.3">
      <c r="D251" s="15"/>
      <c r="E251" s="15"/>
      <c r="F251" s="37"/>
      <c r="G251" s="52"/>
      <c r="H251" s="12"/>
      <c r="I251" s="12"/>
      <c r="J251" s="52"/>
      <c r="K251" s="54"/>
      <c r="L251" s="309"/>
      <c r="M251" s="309"/>
      <c r="N251" s="309"/>
      <c r="O251" s="54"/>
    </row>
    <row r="252" spans="4:15" x14ac:dyDescent="0.3">
      <c r="D252" s="15"/>
      <c r="E252" s="15"/>
      <c r="F252" s="37"/>
      <c r="G252" s="52"/>
      <c r="H252" s="12"/>
      <c r="I252" s="12"/>
      <c r="J252" s="52"/>
      <c r="K252" s="54"/>
      <c r="L252" s="309"/>
      <c r="M252" s="309"/>
      <c r="N252" s="309"/>
      <c r="O252" s="54"/>
    </row>
    <row r="253" spans="4:15" x14ac:dyDescent="0.3">
      <c r="D253" s="15"/>
      <c r="E253" s="15"/>
      <c r="F253" s="37"/>
      <c r="G253" s="52"/>
      <c r="H253" s="12"/>
      <c r="I253" s="12"/>
      <c r="J253" s="52"/>
      <c r="K253" s="54"/>
      <c r="L253" s="309"/>
      <c r="M253" s="309"/>
      <c r="N253" s="309"/>
      <c r="O253" s="54"/>
    </row>
    <row r="254" spans="4:15" x14ac:dyDescent="0.3">
      <c r="D254" s="15"/>
      <c r="E254" s="15"/>
      <c r="F254" s="37"/>
      <c r="G254" s="52"/>
      <c r="H254" s="12"/>
      <c r="I254" s="12"/>
      <c r="J254" s="52"/>
      <c r="K254" s="54"/>
      <c r="L254" s="309"/>
      <c r="M254" s="309"/>
      <c r="N254" s="309"/>
      <c r="O254" s="54"/>
    </row>
    <row r="255" spans="4:15" x14ac:dyDescent="0.3">
      <c r="D255" s="15"/>
      <c r="E255" s="15"/>
      <c r="F255" s="37"/>
      <c r="G255" s="52"/>
      <c r="H255" s="12"/>
      <c r="I255" s="12"/>
      <c r="J255" s="52"/>
      <c r="K255" s="54"/>
      <c r="L255" s="309"/>
      <c r="M255" s="309"/>
      <c r="N255" s="309"/>
      <c r="O255" s="54"/>
    </row>
    <row r="256" spans="4:15" x14ac:dyDescent="0.3">
      <c r="D256" s="15"/>
      <c r="E256" s="15"/>
      <c r="F256" s="37"/>
      <c r="G256" s="52"/>
      <c r="H256" s="12"/>
      <c r="I256" s="12"/>
      <c r="J256" s="52"/>
      <c r="K256" s="54"/>
      <c r="L256" s="309"/>
      <c r="M256" s="309"/>
      <c r="N256" s="309"/>
      <c r="O256" s="54"/>
    </row>
    <row r="257" spans="4:15" x14ac:dyDescent="0.3">
      <c r="D257" s="15"/>
      <c r="E257" s="15"/>
      <c r="F257" s="37"/>
      <c r="G257" s="52"/>
      <c r="H257" s="12"/>
      <c r="I257" s="12"/>
      <c r="J257" s="52"/>
      <c r="K257" s="54"/>
      <c r="L257" s="309"/>
      <c r="M257" s="309"/>
      <c r="N257" s="309"/>
      <c r="O257" s="54"/>
    </row>
    <row r="258" spans="4:15" x14ac:dyDescent="0.3">
      <c r="D258" s="15"/>
      <c r="E258" s="15"/>
      <c r="F258" s="37"/>
      <c r="G258" s="52"/>
      <c r="H258" s="12"/>
      <c r="I258" s="12"/>
      <c r="J258" s="52"/>
      <c r="K258" s="54"/>
      <c r="L258" s="309"/>
      <c r="M258" s="309"/>
      <c r="N258" s="309"/>
      <c r="O258" s="54"/>
    </row>
    <row r="259" spans="4:15" x14ac:dyDescent="0.3">
      <c r="D259" s="15"/>
      <c r="E259" s="15"/>
      <c r="F259" s="37"/>
      <c r="G259" s="52"/>
      <c r="H259" s="12"/>
      <c r="I259" s="12"/>
      <c r="J259" s="52"/>
      <c r="K259" s="54"/>
      <c r="L259" s="309"/>
      <c r="M259" s="309"/>
      <c r="N259" s="309"/>
      <c r="O259" s="54"/>
    </row>
    <row r="260" spans="4:15" x14ac:dyDescent="0.3">
      <c r="D260" s="15"/>
      <c r="E260" s="15"/>
      <c r="F260" s="37"/>
      <c r="G260" s="52"/>
      <c r="H260" s="12"/>
      <c r="I260" s="12"/>
      <c r="J260" s="52"/>
      <c r="K260" s="54"/>
      <c r="L260" s="309"/>
      <c r="M260" s="309"/>
      <c r="N260" s="309"/>
      <c r="O260" s="54"/>
    </row>
    <row r="261" spans="4:15" x14ac:dyDescent="0.3">
      <c r="D261" s="15"/>
      <c r="E261" s="15"/>
      <c r="F261" s="37"/>
      <c r="G261" s="52"/>
      <c r="H261" s="12"/>
      <c r="I261" s="12"/>
      <c r="J261" s="52"/>
      <c r="K261" s="54"/>
      <c r="L261" s="309"/>
      <c r="M261" s="309"/>
      <c r="N261" s="309"/>
      <c r="O261" s="54"/>
    </row>
    <row r="262" spans="4:15" x14ac:dyDescent="0.3">
      <c r="D262" s="15"/>
      <c r="E262" s="15"/>
      <c r="F262" s="37"/>
      <c r="G262" s="52"/>
      <c r="H262" s="12"/>
      <c r="I262" s="12"/>
      <c r="J262" s="52"/>
      <c r="K262" s="54"/>
      <c r="L262" s="309"/>
      <c r="M262" s="309"/>
      <c r="N262" s="309"/>
      <c r="O262" s="54"/>
    </row>
    <row r="263" spans="4:15" x14ac:dyDescent="0.3">
      <c r="D263" s="15"/>
      <c r="E263" s="15"/>
      <c r="F263" s="37"/>
      <c r="G263" s="52"/>
      <c r="H263" s="12"/>
      <c r="I263" s="12"/>
      <c r="J263" s="52"/>
      <c r="K263" s="54"/>
      <c r="L263" s="309"/>
      <c r="M263" s="309"/>
      <c r="N263" s="309"/>
      <c r="O263" s="54"/>
    </row>
    <row r="264" spans="4:15" x14ac:dyDescent="0.3">
      <c r="D264" s="15"/>
      <c r="E264" s="15"/>
      <c r="F264" s="37"/>
      <c r="G264" s="52"/>
      <c r="H264" s="12"/>
      <c r="I264" s="12"/>
      <c r="J264" s="52"/>
      <c r="K264" s="54"/>
      <c r="L264" s="309"/>
      <c r="M264" s="309"/>
      <c r="N264" s="309"/>
      <c r="O264" s="54"/>
    </row>
    <row r="265" spans="4:15" x14ac:dyDescent="0.3">
      <c r="D265" s="15"/>
      <c r="E265" s="15"/>
      <c r="F265" s="37"/>
      <c r="G265" s="52"/>
      <c r="H265" s="12"/>
      <c r="I265" s="12"/>
      <c r="J265" s="52"/>
      <c r="K265" s="54"/>
      <c r="L265" s="309"/>
      <c r="M265" s="309"/>
      <c r="N265" s="309"/>
      <c r="O265" s="54"/>
    </row>
    <row r="266" spans="4:15" x14ac:dyDescent="0.3">
      <c r="D266" s="15"/>
      <c r="E266" s="15"/>
      <c r="F266" s="37"/>
      <c r="G266" s="52"/>
      <c r="H266" s="12"/>
      <c r="I266" s="12"/>
      <c r="J266" s="52"/>
      <c r="K266" s="54"/>
      <c r="L266" s="309"/>
      <c r="M266" s="309"/>
      <c r="N266" s="309"/>
      <c r="O266" s="54"/>
    </row>
    <row r="267" spans="4:15" x14ac:dyDescent="0.3">
      <c r="D267" s="15"/>
      <c r="E267" s="15"/>
      <c r="F267" s="37"/>
      <c r="G267" s="52"/>
      <c r="H267" s="12"/>
      <c r="I267" s="12"/>
      <c r="J267" s="52"/>
      <c r="K267" s="54"/>
      <c r="L267" s="309"/>
      <c r="M267" s="309"/>
      <c r="N267" s="309"/>
      <c r="O267" s="54"/>
    </row>
    <row r="268" spans="4:15" x14ac:dyDescent="0.3">
      <c r="D268" s="15"/>
      <c r="E268" s="15"/>
      <c r="F268" s="37"/>
      <c r="G268" s="52"/>
      <c r="H268" s="12"/>
      <c r="I268" s="12"/>
      <c r="J268" s="52"/>
      <c r="K268" s="54"/>
      <c r="L268" s="309"/>
      <c r="M268" s="309"/>
      <c r="N268" s="309"/>
      <c r="O268" s="54"/>
    </row>
    <row r="269" spans="4:15" x14ac:dyDescent="0.3">
      <c r="D269" s="15"/>
      <c r="E269" s="15"/>
      <c r="F269" s="37"/>
      <c r="G269" s="52"/>
      <c r="H269" s="12"/>
      <c r="I269" s="12"/>
      <c r="J269" s="52"/>
      <c r="K269" s="54"/>
      <c r="L269" s="309"/>
      <c r="M269" s="309"/>
      <c r="N269" s="309"/>
      <c r="O269" s="54"/>
    </row>
    <row r="270" spans="4:15" x14ac:dyDescent="0.3">
      <c r="D270" s="15"/>
      <c r="E270" s="15"/>
      <c r="F270" s="37"/>
      <c r="G270" s="52"/>
      <c r="H270" s="12"/>
      <c r="I270" s="12"/>
      <c r="J270" s="52"/>
      <c r="K270" s="54"/>
      <c r="L270" s="309"/>
      <c r="M270" s="309"/>
      <c r="N270" s="309"/>
      <c r="O270" s="54"/>
    </row>
    <row r="271" spans="4:15" x14ac:dyDescent="0.3">
      <c r="D271" s="15"/>
      <c r="E271" s="15"/>
      <c r="F271" s="37"/>
      <c r="G271" s="52"/>
      <c r="H271" s="12"/>
      <c r="I271" s="12"/>
      <c r="J271" s="52"/>
      <c r="K271" s="54"/>
      <c r="L271" s="309"/>
      <c r="M271" s="309"/>
      <c r="N271" s="309"/>
      <c r="O271" s="54"/>
    </row>
    <row r="272" spans="4:15" x14ac:dyDescent="0.3">
      <c r="D272" s="15"/>
      <c r="E272" s="15"/>
      <c r="F272" s="37"/>
      <c r="G272" s="52"/>
      <c r="H272" s="12"/>
      <c r="I272" s="12"/>
      <c r="J272" s="52"/>
      <c r="K272" s="54"/>
      <c r="L272" s="309"/>
      <c r="M272" s="309"/>
      <c r="N272" s="309"/>
      <c r="O272" s="54"/>
    </row>
    <row r="273" spans="4:15" x14ac:dyDescent="0.3">
      <c r="D273" s="15"/>
      <c r="E273" s="15"/>
      <c r="F273" s="37"/>
      <c r="G273" s="52"/>
      <c r="H273" s="12"/>
      <c r="I273" s="12"/>
      <c r="J273" s="52"/>
      <c r="K273" s="54"/>
      <c r="L273" s="309"/>
      <c r="M273" s="309"/>
      <c r="N273" s="309"/>
      <c r="O273" s="54"/>
    </row>
    <row r="274" spans="4:15" x14ac:dyDescent="0.3">
      <c r="D274" s="15"/>
      <c r="E274" s="15"/>
      <c r="F274" s="37"/>
      <c r="G274" s="52"/>
      <c r="H274" s="12"/>
      <c r="I274" s="12"/>
      <c r="J274" s="52"/>
      <c r="K274" s="54"/>
      <c r="L274" s="309"/>
      <c r="M274" s="309"/>
      <c r="N274" s="309"/>
      <c r="O274" s="54"/>
    </row>
    <row r="275" spans="4:15" x14ac:dyDescent="0.3">
      <c r="D275" s="15"/>
      <c r="E275" s="15"/>
      <c r="F275" s="37"/>
      <c r="G275" s="52"/>
      <c r="H275" s="12"/>
      <c r="I275" s="12"/>
      <c r="J275" s="52"/>
      <c r="K275" s="54"/>
      <c r="L275" s="309"/>
      <c r="M275" s="309"/>
      <c r="N275" s="309"/>
      <c r="O275" s="54"/>
    </row>
    <row r="276" spans="4:15" x14ac:dyDescent="0.3">
      <c r="D276" s="15"/>
      <c r="E276" s="15"/>
      <c r="F276" s="37"/>
      <c r="G276" s="52"/>
      <c r="H276" s="12"/>
      <c r="I276" s="12"/>
      <c r="J276" s="52"/>
      <c r="K276" s="54"/>
      <c r="L276" s="309"/>
      <c r="M276" s="309"/>
      <c r="N276" s="309"/>
      <c r="O276" s="54"/>
    </row>
    <row r="277" spans="4:15" x14ac:dyDescent="0.3">
      <c r="D277" s="15"/>
      <c r="E277" s="15"/>
      <c r="F277" s="37"/>
      <c r="G277" s="52"/>
      <c r="H277" s="12"/>
      <c r="I277" s="12"/>
      <c r="J277" s="52"/>
      <c r="K277" s="54"/>
      <c r="L277" s="309"/>
      <c r="M277" s="309"/>
      <c r="N277" s="309"/>
      <c r="O277" s="54"/>
    </row>
    <row r="278" spans="4:15" x14ac:dyDescent="0.3">
      <c r="D278" s="15"/>
      <c r="E278" s="15"/>
      <c r="F278" s="37"/>
      <c r="G278" s="52"/>
      <c r="H278" s="12"/>
      <c r="I278" s="12"/>
      <c r="J278" s="52"/>
      <c r="K278" s="54"/>
      <c r="L278" s="309"/>
      <c r="M278" s="309"/>
      <c r="N278" s="309"/>
      <c r="O278" s="54"/>
    </row>
    <row r="279" spans="4:15" x14ac:dyDescent="0.3">
      <c r="D279" s="15"/>
      <c r="E279" s="15"/>
      <c r="F279" s="37"/>
      <c r="G279" s="52"/>
      <c r="H279" s="12"/>
      <c r="I279" s="12"/>
      <c r="J279" s="52"/>
      <c r="K279" s="54"/>
      <c r="L279" s="309"/>
      <c r="M279" s="309"/>
      <c r="N279" s="309"/>
      <c r="O279" s="54"/>
    </row>
    <row r="280" spans="4:15" x14ac:dyDescent="0.3">
      <c r="D280" s="15"/>
      <c r="E280" s="15"/>
      <c r="F280" s="37"/>
      <c r="G280" s="52"/>
      <c r="H280" s="12"/>
      <c r="I280" s="12"/>
      <c r="J280" s="52"/>
      <c r="K280" s="54"/>
      <c r="L280" s="309"/>
      <c r="M280" s="309"/>
      <c r="N280" s="309"/>
      <c r="O280" s="54"/>
    </row>
    <row r="281" spans="4:15" x14ac:dyDescent="0.3">
      <c r="D281" s="15"/>
      <c r="E281" s="15"/>
      <c r="F281" s="37"/>
      <c r="G281" s="52"/>
      <c r="H281" s="12"/>
      <c r="I281" s="12"/>
      <c r="J281" s="52"/>
      <c r="K281" s="54"/>
      <c r="L281" s="309"/>
      <c r="M281" s="309"/>
      <c r="N281" s="309"/>
      <c r="O281" s="54"/>
    </row>
    <row r="282" spans="4:15" x14ac:dyDescent="0.3">
      <c r="D282" s="15"/>
      <c r="E282" s="15"/>
      <c r="F282" s="37"/>
      <c r="G282" s="52"/>
      <c r="H282" s="12"/>
      <c r="I282" s="12"/>
      <c r="J282" s="52"/>
      <c r="K282" s="54"/>
      <c r="L282" s="309"/>
      <c r="M282" s="309"/>
      <c r="N282" s="309"/>
      <c r="O282" s="54"/>
    </row>
    <row r="283" spans="4:15" x14ac:dyDescent="0.3">
      <c r="D283" s="15"/>
      <c r="E283" s="15"/>
      <c r="F283" s="37"/>
      <c r="G283" s="52"/>
      <c r="H283" s="12"/>
      <c r="I283" s="12"/>
      <c r="J283" s="52"/>
      <c r="K283" s="54"/>
      <c r="L283" s="309"/>
      <c r="M283" s="309"/>
      <c r="N283" s="309"/>
      <c r="O283" s="54"/>
    </row>
    <row r="284" spans="4:15" x14ac:dyDescent="0.3">
      <c r="D284" s="15"/>
      <c r="E284" s="15"/>
      <c r="F284" s="37"/>
      <c r="G284" s="52"/>
      <c r="H284" s="12"/>
      <c r="I284" s="12"/>
      <c r="J284" s="52"/>
      <c r="K284" s="54"/>
      <c r="L284" s="309"/>
      <c r="M284" s="309"/>
      <c r="N284" s="309"/>
      <c r="O284" s="54"/>
    </row>
    <row r="285" spans="4:15" x14ac:dyDescent="0.3">
      <c r="D285" s="15"/>
      <c r="E285" s="15"/>
      <c r="F285" s="37"/>
      <c r="G285" s="52"/>
      <c r="H285" s="12"/>
      <c r="I285" s="12"/>
      <c r="J285" s="52"/>
      <c r="K285" s="54"/>
      <c r="L285" s="309"/>
      <c r="M285" s="309"/>
      <c r="N285" s="309"/>
      <c r="O285" s="54"/>
    </row>
    <row r="286" spans="4:15" x14ac:dyDescent="0.3">
      <c r="D286" s="15"/>
      <c r="E286" s="15"/>
      <c r="F286" s="37"/>
      <c r="G286" s="52"/>
      <c r="H286" s="12"/>
      <c r="I286" s="12"/>
      <c r="J286" s="52"/>
      <c r="K286" s="54"/>
      <c r="L286" s="309"/>
      <c r="M286" s="309"/>
      <c r="N286" s="309"/>
      <c r="O286" s="54"/>
    </row>
    <row r="287" spans="4:15" x14ac:dyDescent="0.3">
      <c r="D287" s="15"/>
      <c r="E287" s="15"/>
      <c r="F287" s="37"/>
      <c r="G287" s="52"/>
      <c r="H287" s="12"/>
      <c r="I287" s="12"/>
      <c r="J287" s="52"/>
      <c r="K287" s="54"/>
      <c r="L287" s="309"/>
      <c r="M287" s="309"/>
      <c r="N287" s="309"/>
      <c r="O287" s="54"/>
    </row>
    <row r="288" spans="4:15" x14ac:dyDescent="0.3">
      <c r="D288" s="15"/>
      <c r="E288" s="15"/>
      <c r="F288" s="37"/>
      <c r="G288" s="52"/>
      <c r="H288" s="12"/>
      <c r="I288" s="12"/>
      <c r="J288" s="52"/>
      <c r="K288" s="54"/>
      <c r="L288" s="309"/>
      <c r="M288" s="309"/>
      <c r="N288" s="309"/>
      <c r="O288" s="54"/>
    </row>
    <row r="289" spans="4:15" x14ac:dyDescent="0.3">
      <c r="D289" s="15"/>
      <c r="E289" s="15"/>
      <c r="F289" s="37"/>
      <c r="G289" s="52"/>
      <c r="H289" s="12"/>
      <c r="I289" s="12"/>
      <c r="J289" s="52"/>
      <c r="K289" s="54"/>
      <c r="L289" s="309"/>
      <c r="M289" s="309"/>
      <c r="N289" s="309"/>
      <c r="O289" s="54"/>
    </row>
    <row r="290" spans="4:15" x14ac:dyDescent="0.3">
      <c r="D290" s="15"/>
      <c r="E290" s="15"/>
      <c r="F290" s="37"/>
      <c r="G290" s="52"/>
      <c r="H290" s="12"/>
      <c r="I290" s="12"/>
      <c r="J290" s="52"/>
      <c r="K290" s="54"/>
      <c r="L290" s="309"/>
      <c r="M290" s="309"/>
      <c r="N290" s="309"/>
      <c r="O290" s="54"/>
    </row>
    <row r="291" spans="4:15" x14ac:dyDescent="0.3">
      <c r="D291" s="15"/>
      <c r="E291" s="15"/>
      <c r="F291" s="37"/>
      <c r="G291" s="52"/>
      <c r="H291" s="12"/>
      <c r="I291" s="12"/>
      <c r="J291" s="52"/>
      <c r="K291" s="54"/>
      <c r="L291" s="309"/>
      <c r="M291" s="309"/>
      <c r="N291" s="309"/>
      <c r="O291" s="54"/>
    </row>
    <row r="292" spans="4:15" x14ac:dyDescent="0.3">
      <c r="D292" s="15"/>
      <c r="E292" s="15"/>
      <c r="F292" s="37"/>
      <c r="G292" s="52"/>
      <c r="H292" s="12"/>
      <c r="I292" s="12"/>
      <c r="J292" s="52"/>
      <c r="K292" s="54"/>
      <c r="L292" s="309"/>
      <c r="M292" s="309"/>
      <c r="N292" s="309"/>
      <c r="O292" s="54"/>
    </row>
    <row r="293" spans="4:15" x14ac:dyDescent="0.3">
      <c r="D293" s="15"/>
      <c r="E293" s="15"/>
      <c r="F293" s="37"/>
      <c r="G293" s="52"/>
      <c r="H293" s="12"/>
      <c r="I293" s="12"/>
      <c r="J293" s="52"/>
      <c r="K293" s="54"/>
      <c r="L293" s="309"/>
      <c r="M293" s="309"/>
      <c r="N293" s="309"/>
      <c r="O293" s="54"/>
    </row>
    <row r="294" spans="4:15" x14ac:dyDescent="0.3">
      <c r="D294" s="15"/>
      <c r="E294" s="15"/>
      <c r="F294" s="37"/>
      <c r="G294" s="52"/>
      <c r="H294" s="12"/>
      <c r="I294" s="12"/>
      <c r="J294" s="52"/>
      <c r="K294" s="54"/>
      <c r="L294" s="309"/>
      <c r="M294" s="309"/>
      <c r="N294" s="309"/>
      <c r="O294" s="54"/>
    </row>
    <row r="295" spans="4:15" x14ac:dyDescent="0.3">
      <c r="D295" s="15"/>
      <c r="E295" s="15"/>
      <c r="F295" s="37"/>
      <c r="G295" s="52"/>
      <c r="H295" s="12"/>
      <c r="I295" s="12"/>
      <c r="J295" s="52"/>
      <c r="K295" s="54"/>
      <c r="L295" s="309"/>
      <c r="M295" s="309"/>
      <c r="N295" s="309"/>
      <c r="O295" s="54"/>
    </row>
    <row r="296" spans="4:15" x14ac:dyDescent="0.3">
      <c r="D296" s="15"/>
      <c r="E296" s="15"/>
      <c r="F296" s="37"/>
      <c r="G296" s="52"/>
      <c r="H296" s="12"/>
      <c r="I296" s="12"/>
      <c r="J296" s="52"/>
      <c r="K296" s="54"/>
      <c r="L296" s="309"/>
      <c r="M296" s="309"/>
      <c r="N296" s="309"/>
      <c r="O296" s="54"/>
    </row>
    <row r="297" spans="4:15" x14ac:dyDescent="0.3">
      <c r="D297" s="15"/>
      <c r="E297" s="15"/>
      <c r="F297" s="37"/>
      <c r="G297" s="52"/>
      <c r="H297" s="12"/>
      <c r="I297" s="12"/>
      <c r="J297" s="52"/>
      <c r="K297" s="54"/>
      <c r="L297" s="309"/>
      <c r="M297" s="309"/>
      <c r="N297" s="309"/>
      <c r="O297" s="54"/>
    </row>
    <row r="298" spans="4:15" x14ac:dyDescent="0.3">
      <c r="D298" s="15"/>
      <c r="E298" s="15"/>
      <c r="F298" s="37"/>
      <c r="G298" s="52"/>
      <c r="H298" s="12"/>
      <c r="I298" s="12"/>
      <c r="J298" s="52"/>
      <c r="K298" s="54"/>
      <c r="L298" s="309"/>
      <c r="M298" s="309"/>
      <c r="N298" s="309"/>
      <c r="O298" s="54"/>
    </row>
    <row r="299" spans="4:15" x14ac:dyDescent="0.3">
      <c r="D299" s="15"/>
      <c r="E299" s="15"/>
      <c r="F299" s="37"/>
      <c r="G299" s="52"/>
      <c r="H299" s="12"/>
      <c r="I299" s="12"/>
      <c r="J299" s="52"/>
      <c r="K299" s="54"/>
      <c r="L299" s="309"/>
      <c r="M299" s="309"/>
      <c r="N299" s="309"/>
      <c r="O299" s="54"/>
    </row>
    <row r="300" spans="4:15" x14ac:dyDescent="0.3">
      <c r="D300" s="15"/>
      <c r="E300" s="15"/>
      <c r="F300" s="37"/>
      <c r="G300" s="52"/>
      <c r="H300" s="12"/>
      <c r="I300" s="12"/>
      <c r="J300" s="52"/>
      <c r="K300" s="54"/>
      <c r="L300" s="309"/>
      <c r="M300" s="309"/>
      <c r="N300" s="309"/>
      <c r="O300" s="54"/>
    </row>
    <row r="301" spans="4:15" x14ac:dyDescent="0.3">
      <c r="D301" s="15"/>
      <c r="E301" s="15"/>
      <c r="F301" s="37"/>
      <c r="G301" s="52"/>
      <c r="H301" s="12"/>
      <c r="I301" s="12"/>
      <c r="J301" s="52"/>
      <c r="K301" s="54"/>
      <c r="L301" s="309"/>
      <c r="M301" s="309"/>
      <c r="N301" s="309"/>
      <c r="O301" s="54"/>
    </row>
    <row r="302" spans="4:15" x14ac:dyDescent="0.3">
      <c r="D302" s="15"/>
      <c r="E302" s="15"/>
      <c r="F302" s="37"/>
      <c r="G302" s="52"/>
      <c r="H302" s="12"/>
      <c r="I302" s="12"/>
      <c r="J302" s="52"/>
      <c r="K302" s="54"/>
      <c r="L302" s="309"/>
      <c r="M302" s="309"/>
      <c r="N302" s="309"/>
      <c r="O302" s="54"/>
    </row>
    <row r="303" spans="4:15" x14ac:dyDescent="0.3">
      <c r="D303" s="15"/>
      <c r="E303" s="15"/>
      <c r="F303" s="37"/>
      <c r="G303" s="52"/>
      <c r="H303" s="12"/>
      <c r="I303" s="12"/>
      <c r="J303" s="52"/>
      <c r="K303" s="54"/>
      <c r="L303" s="309"/>
      <c r="M303" s="309"/>
      <c r="N303" s="309"/>
      <c r="O303" s="54"/>
    </row>
    <row r="304" spans="4:15" x14ac:dyDescent="0.3">
      <c r="D304" s="15"/>
      <c r="E304" s="15"/>
      <c r="F304" s="37"/>
      <c r="G304" s="52"/>
      <c r="H304" s="12"/>
      <c r="I304" s="12"/>
      <c r="J304" s="52"/>
      <c r="K304" s="54"/>
      <c r="L304" s="309"/>
      <c r="M304" s="309"/>
      <c r="N304" s="309"/>
      <c r="O304" s="54"/>
    </row>
    <row r="305" spans="4:15" x14ac:dyDescent="0.3">
      <c r="D305" s="15"/>
      <c r="E305" s="15"/>
      <c r="F305" s="37"/>
      <c r="G305" s="52"/>
      <c r="H305" s="12"/>
      <c r="I305" s="12"/>
      <c r="J305" s="52"/>
      <c r="K305" s="54"/>
      <c r="L305" s="309"/>
      <c r="M305" s="309"/>
      <c r="N305" s="309"/>
      <c r="O305" s="54"/>
    </row>
    <row r="306" spans="4:15" x14ac:dyDescent="0.3">
      <c r="D306" s="15"/>
      <c r="E306" s="15"/>
      <c r="F306" s="37"/>
      <c r="G306" s="52"/>
      <c r="H306" s="12"/>
      <c r="I306" s="12"/>
      <c r="J306" s="52"/>
      <c r="K306" s="54"/>
      <c r="L306" s="309"/>
      <c r="M306" s="309"/>
      <c r="N306" s="309"/>
      <c r="O306" s="54"/>
    </row>
    <row r="307" spans="4:15" x14ac:dyDescent="0.3">
      <c r="D307" s="15"/>
      <c r="E307" s="15"/>
      <c r="F307" s="37"/>
      <c r="G307" s="52"/>
      <c r="H307" s="12"/>
      <c r="I307" s="12"/>
      <c r="J307" s="52"/>
      <c r="K307" s="54"/>
      <c r="L307" s="309"/>
      <c r="M307" s="309"/>
      <c r="N307" s="309"/>
      <c r="O307" s="54"/>
    </row>
    <row r="308" spans="4:15" x14ac:dyDescent="0.3">
      <c r="D308" s="15"/>
      <c r="E308" s="15"/>
      <c r="F308" s="37"/>
      <c r="G308" s="52"/>
      <c r="H308" s="12"/>
      <c r="I308" s="12"/>
      <c r="J308" s="52"/>
      <c r="K308" s="54"/>
      <c r="L308" s="309"/>
      <c r="M308" s="309"/>
      <c r="N308" s="309"/>
      <c r="O308" s="54"/>
    </row>
    <row r="309" spans="4:15" x14ac:dyDescent="0.3">
      <c r="D309" s="15"/>
      <c r="E309" s="15"/>
      <c r="F309" s="37"/>
      <c r="G309" s="52"/>
      <c r="H309" s="12"/>
      <c r="I309" s="12"/>
      <c r="J309" s="52"/>
      <c r="K309" s="54"/>
      <c r="L309" s="309"/>
      <c r="M309" s="309"/>
      <c r="N309" s="309"/>
      <c r="O309" s="54"/>
    </row>
    <row r="310" spans="4:15" x14ac:dyDescent="0.3">
      <c r="D310" s="15"/>
      <c r="E310" s="15"/>
      <c r="F310" s="37"/>
      <c r="G310" s="52"/>
      <c r="H310" s="12"/>
      <c r="I310" s="12"/>
      <c r="J310" s="52"/>
      <c r="K310" s="54"/>
      <c r="L310" s="309"/>
      <c r="M310" s="309"/>
      <c r="N310" s="309"/>
      <c r="O310" s="54"/>
    </row>
    <row r="311" spans="4:15" x14ac:dyDescent="0.3">
      <c r="D311" s="15"/>
      <c r="E311" s="15"/>
      <c r="F311" s="37"/>
      <c r="G311" s="52"/>
      <c r="H311" s="12"/>
      <c r="I311" s="12"/>
      <c r="J311" s="52"/>
      <c r="K311" s="54"/>
      <c r="L311" s="309"/>
      <c r="M311" s="309"/>
      <c r="N311" s="309"/>
      <c r="O311" s="54"/>
    </row>
    <row r="312" spans="4:15" x14ac:dyDescent="0.3">
      <c r="D312" s="15"/>
      <c r="E312" s="15"/>
      <c r="F312" s="37"/>
      <c r="G312" s="52"/>
      <c r="H312" s="12"/>
      <c r="I312" s="12"/>
      <c r="J312" s="52"/>
      <c r="K312" s="54"/>
      <c r="L312" s="309"/>
      <c r="M312" s="309"/>
      <c r="N312" s="309"/>
      <c r="O312" s="54"/>
    </row>
    <row r="313" spans="4:15" x14ac:dyDescent="0.3">
      <c r="D313" s="15"/>
      <c r="E313" s="15"/>
      <c r="F313" s="37"/>
      <c r="G313" s="52"/>
      <c r="H313" s="12"/>
      <c r="I313" s="12"/>
      <c r="J313" s="52"/>
      <c r="K313" s="54"/>
      <c r="L313" s="309"/>
      <c r="M313" s="309"/>
      <c r="N313" s="309"/>
      <c r="O313" s="54"/>
    </row>
    <row r="314" spans="4:15" x14ac:dyDescent="0.3">
      <c r="D314" s="15"/>
      <c r="E314" s="15"/>
      <c r="F314" s="37"/>
      <c r="G314" s="52"/>
      <c r="H314" s="12"/>
      <c r="I314" s="12"/>
      <c r="J314" s="52"/>
      <c r="K314" s="54"/>
      <c r="L314" s="309"/>
      <c r="M314" s="309"/>
      <c r="N314" s="309"/>
      <c r="O314" s="54"/>
    </row>
    <row r="315" spans="4:15" x14ac:dyDescent="0.3">
      <c r="D315" s="15"/>
      <c r="E315" s="15"/>
      <c r="F315" s="37"/>
      <c r="G315" s="52"/>
      <c r="H315" s="12"/>
      <c r="I315" s="12"/>
      <c r="J315" s="52"/>
      <c r="K315" s="54"/>
      <c r="L315" s="309"/>
      <c r="M315" s="309"/>
      <c r="N315" s="309"/>
      <c r="O315" s="54"/>
    </row>
    <row r="316" spans="4:15" x14ac:dyDescent="0.3">
      <c r="D316" s="15"/>
      <c r="E316" s="15"/>
      <c r="F316" s="37"/>
      <c r="G316" s="52"/>
      <c r="H316" s="12"/>
      <c r="I316" s="12"/>
      <c r="J316" s="52"/>
      <c r="K316" s="54"/>
      <c r="L316" s="309"/>
      <c r="M316" s="309"/>
      <c r="N316" s="309"/>
      <c r="O316" s="54"/>
    </row>
    <row r="317" spans="4:15" x14ac:dyDescent="0.3">
      <c r="D317" s="15"/>
      <c r="E317" s="15"/>
      <c r="F317" s="37"/>
      <c r="G317" s="52"/>
      <c r="H317" s="12"/>
      <c r="I317" s="12"/>
      <c r="J317" s="52"/>
      <c r="K317" s="54"/>
      <c r="L317" s="309"/>
      <c r="M317" s="309"/>
      <c r="N317" s="309"/>
      <c r="O317" s="54"/>
    </row>
    <row r="318" spans="4:15" x14ac:dyDescent="0.3">
      <c r="D318" s="15"/>
      <c r="E318" s="15"/>
      <c r="F318" s="37"/>
      <c r="G318" s="52"/>
      <c r="H318" s="12"/>
      <c r="I318" s="12"/>
      <c r="J318" s="52"/>
      <c r="K318" s="54"/>
      <c r="L318" s="309"/>
      <c r="M318" s="309"/>
      <c r="N318" s="309"/>
      <c r="O318" s="54"/>
    </row>
    <row r="319" spans="4:15" x14ac:dyDescent="0.3">
      <c r="D319" s="15"/>
      <c r="E319" s="15"/>
      <c r="F319" s="37"/>
      <c r="G319" s="52"/>
      <c r="H319" s="12"/>
      <c r="I319" s="12"/>
      <c r="J319" s="52"/>
      <c r="K319" s="54"/>
      <c r="L319" s="309"/>
      <c r="M319" s="309"/>
      <c r="N319" s="309"/>
      <c r="O319" s="54"/>
    </row>
    <row r="320" spans="4:15" x14ac:dyDescent="0.3">
      <c r="D320" s="15"/>
      <c r="E320" s="15"/>
      <c r="F320" s="37"/>
      <c r="G320" s="52"/>
      <c r="H320" s="12"/>
      <c r="I320" s="12"/>
      <c r="J320" s="52"/>
      <c r="K320" s="54"/>
      <c r="L320" s="309"/>
      <c r="M320" s="309"/>
      <c r="N320" s="309"/>
      <c r="O320" s="54"/>
    </row>
    <row r="321" spans="4:15" x14ac:dyDescent="0.3">
      <c r="D321" s="15"/>
      <c r="E321" s="15"/>
      <c r="F321" s="37"/>
      <c r="G321" s="52"/>
      <c r="H321" s="12"/>
      <c r="I321" s="12"/>
      <c r="J321" s="52"/>
      <c r="K321" s="54"/>
      <c r="L321" s="309"/>
      <c r="M321" s="309"/>
      <c r="N321" s="309"/>
      <c r="O321" s="54"/>
    </row>
    <row r="322" spans="4:15" x14ac:dyDescent="0.3">
      <c r="D322" s="15"/>
      <c r="E322" s="15"/>
      <c r="F322" s="37"/>
      <c r="G322" s="52"/>
      <c r="H322" s="12"/>
      <c r="I322" s="12"/>
      <c r="J322" s="52"/>
      <c r="K322" s="54"/>
      <c r="L322" s="309"/>
      <c r="M322" s="309"/>
      <c r="N322" s="309"/>
      <c r="O322" s="54"/>
    </row>
    <row r="323" spans="4:15" x14ac:dyDescent="0.3">
      <c r="D323" s="15"/>
      <c r="E323" s="15"/>
      <c r="F323" s="37"/>
      <c r="G323" s="52"/>
      <c r="H323" s="12"/>
      <c r="I323" s="12"/>
      <c r="J323" s="52"/>
      <c r="K323" s="54"/>
      <c r="L323" s="309"/>
      <c r="M323" s="309"/>
      <c r="N323" s="309"/>
      <c r="O323" s="54"/>
    </row>
    <row r="324" spans="4:15" x14ac:dyDescent="0.3">
      <c r="D324" s="15"/>
      <c r="E324" s="15"/>
      <c r="F324" s="37"/>
      <c r="G324" s="52"/>
      <c r="H324" s="12"/>
      <c r="I324" s="12"/>
      <c r="J324" s="52"/>
      <c r="K324" s="54"/>
      <c r="L324" s="309"/>
      <c r="M324" s="309"/>
      <c r="N324" s="309"/>
      <c r="O324" s="54"/>
    </row>
    <row r="325" spans="4:15" x14ac:dyDescent="0.3">
      <c r="D325" s="15"/>
      <c r="E325" s="15"/>
      <c r="F325" s="37"/>
      <c r="G325" s="52"/>
      <c r="H325" s="12"/>
      <c r="I325" s="12"/>
      <c r="J325" s="52"/>
      <c r="K325" s="54"/>
      <c r="L325" s="309"/>
      <c r="M325" s="309"/>
      <c r="N325" s="309"/>
      <c r="O325" s="54"/>
    </row>
    <row r="326" spans="4:15" x14ac:dyDescent="0.3">
      <c r="D326" s="15"/>
      <c r="E326" s="15"/>
      <c r="F326" s="37"/>
      <c r="G326" s="52"/>
      <c r="H326" s="12"/>
      <c r="I326" s="12"/>
      <c r="J326" s="52"/>
      <c r="K326" s="54"/>
      <c r="L326" s="309"/>
      <c r="M326" s="309"/>
      <c r="N326" s="309"/>
      <c r="O326" s="54"/>
    </row>
    <row r="327" spans="4:15" x14ac:dyDescent="0.3">
      <c r="D327" s="15"/>
      <c r="E327" s="15"/>
      <c r="F327" s="37"/>
      <c r="G327" s="52"/>
      <c r="H327" s="12"/>
      <c r="I327" s="12"/>
      <c r="J327" s="52"/>
      <c r="K327" s="54"/>
      <c r="L327" s="309"/>
      <c r="M327" s="309"/>
      <c r="N327" s="309"/>
      <c r="O327" s="54"/>
    </row>
    <row r="328" spans="4:15" x14ac:dyDescent="0.3">
      <c r="D328" s="15"/>
      <c r="E328" s="15"/>
      <c r="F328" s="37"/>
      <c r="G328" s="52"/>
      <c r="H328" s="12"/>
      <c r="I328" s="12"/>
      <c r="J328" s="52"/>
      <c r="K328" s="54"/>
      <c r="L328" s="309"/>
      <c r="M328" s="309"/>
      <c r="N328" s="309"/>
      <c r="O328" s="54"/>
    </row>
    <row r="329" spans="4:15" x14ac:dyDescent="0.3">
      <c r="D329" s="15"/>
      <c r="E329" s="15"/>
      <c r="F329" s="37"/>
      <c r="G329" s="52"/>
      <c r="H329" s="12"/>
      <c r="I329" s="12"/>
      <c r="J329" s="52"/>
      <c r="K329" s="54"/>
      <c r="L329" s="309"/>
      <c r="M329" s="309"/>
      <c r="N329" s="309"/>
      <c r="O329" s="54"/>
    </row>
    <row r="330" spans="4:15" x14ac:dyDescent="0.3">
      <c r="D330" s="15"/>
      <c r="E330" s="15"/>
      <c r="F330" s="37"/>
      <c r="G330" s="52"/>
      <c r="H330" s="12"/>
      <c r="I330" s="12"/>
      <c r="J330" s="52"/>
      <c r="K330" s="54"/>
      <c r="L330" s="309"/>
      <c r="M330" s="309"/>
      <c r="N330" s="309"/>
      <c r="O330" s="54"/>
    </row>
    <row r="331" spans="4:15" x14ac:dyDescent="0.3">
      <c r="D331" s="15"/>
      <c r="E331" s="15"/>
      <c r="F331" s="37"/>
      <c r="G331" s="52"/>
      <c r="H331" s="12"/>
      <c r="I331" s="12"/>
      <c r="J331" s="52"/>
      <c r="K331" s="54"/>
      <c r="L331" s="309"/>
      <c r="M331" s="309"/>
      <c r="N331" s="309"/>
      <c r="O331" s="54"/>
    </row>
    <row r="332" spans="4:15" x14ac:dyDescent="0.3">
      <c r="D332" s="15"/>
      <c r="E332" s="15"/>
      <c r="F332" s="37"/>
      <c r="G332" s="52"/>
      <c r="H332" s="12"/>
      <c r="I332" s="12"/>
      <c r="J332" s="52"/>
      <c r="K332" s="54"/>
      <c r="L332" s="309"/>
      <c r="M332" s="309"/>
      <c r="N332" s="309"/>
      <c r="O332" s="54"/>
    </row>
    <row r="333" spans="4:15" x14ac:dyDescent="0.3">
      <c r="D333" s="15"/>
      <c r="E333" s="15"/>
      <c r="F333" s="37"/>
      <c r="G333" s="52"/>
      <c r="H333" s="12"/>
      <c r="I333" s="12"/>
      <c r="J333" s="52"/>
      <c r="K333" s="54"/>
      <c r="L333" s="309"/>
      <c r="M333" s="309"/>
      <c r="N333" s="309"/>
      <c r="O333" s="54"/>
    </row>
    <row r="334" spans="4:15" x14ac:dyDescent="0.3">
      <c r="D334" s="15"/>
      <c r="E334" s="15"/>
      <c r="F334" s="37"/>
      <c r="G334" s="52"/>
      <c r="H334" s="12"/>
      <c r="I334" s="12"/>
      <c r="J334" s="52"/>
      <c r="K334" s="54"/>
      <c r="L334" s="309"/>
      <c r="M334" s="309"/>
      <c r="N334" s="309"/>
      <c r="O334" s="54"/>
    </row>
    <row r="335" spans="4:15" x14ac:dyDescent="0.3">
      <c r="D335" s="15"/>
      <c r="E335" s="15"/>
      <c r="F335" s="37"/>
      <c r="G335" s="52"/>
      <c r="H335" s="12"/>
      <c r="I335" s="12"/>
      <c r="J335" s="52"/>
      <c r="K335" s="54"/>
      <c r="L335" s="309"/>
      <c r="M335" s="309"/>
      <c r="N335" s="309"/>
      <c r="O335" s="54"/>
    </row>
    <row r="336" spans="4:15" x14ac:dyDescent="0.3">
      <c r="D336" s="15"/>
      <c r="E336" s="15"/>
      <c r="F336" s="37"/>
      <c r="G336" s="52"/>
      <c r="H336" s="12"/>
      <c r="I336" s="12"/>
      <c r="J336" s="52"/>
      <c r="K336" s="54"/>
      <c r="L336" s="309"/>
      <c r="M336" s="309"/>
      <c r="N336" s="309"/>
      <c r="O336" s="54"/>
    </row>
    <row r="337" spans="4:15" x14ac:dyDescent="0.3">
      <c r="D337" s="15"/>
      <c r="E337" s="15"/>
      <c r="F337" s="37"/>
      <c r="G337" s="52"/>
      <c r="H337" s="12"/>
      <c r="I337" s="12"/>
      <c r="J337" s="52"/>
      <c r="K337" s="54"/>
      <c r="L337" s="309"/>
      <c r="M337" s="309"/>
      <c r="N337" s="309"/>
      <c r="O337" s="54"/>
    </row>
    <row r="338" spans="4:15" x14ac:dyDescent="0.3">
      <c r="D338" s="15"/>
      <c r="E338" s="15"/>
      <c r="F338" s="37"/>
      <c r="G338" s="52"/>
      <c r="H338" s="12"/>
      <c r="I338" s="12"/>
      <c r="J338" s="52"/>
      <c r="K338" s="54"/>
      <c r="L338" s="309"/>
      <c r="M338" s="309"/>
      <c r="N338" s="309"/>
      <c r="O338" s="54"/>
    </row>
    <row r="339" spans="4:15" x14ac:dyDescent="0.3">
      <c r="D339" s="15"/>
      <c r="E339" s="15"/>
      <c r="F339" s="37"/>
      <c r="G339" s="52"/>
      <c r="H339" s="12"/>
      <c r="I339" s="12"/>
      <c r="J339" s="52"/>
      <c r="K339" s="54"/>
      <c r="L339" s="309"/>
      <c r="M339" s="309"/>
      <c r="N339" s="309"/>
      <c r="O339" s="54"/>
    </row>
    <row r="340" spans="4:15" x14ac:dyDescent="0.3">
      <c r="D340" s="15"/>
      <c r="E340" s="15"/>
      <c r="F340" s="37"/>
      <c r="G340" s="52"/>
      <c r="H340" s="12"/>
      <c r="I340" s="12"/>
      <c r="J340" s="52"/>
      <c r="K340" s="54"/>
      <c r="L340" s="309"/>
      <c r="M340" s="309"/>
      <c r="N340" s="309"/>
      <c r="O340" s="54"/>
    </row>
    <row r="341" spans="4:15" x14ac:dyDescent="0.3">
      <c r="D341" s="15"/>
      <c r="E341" s="15"/>
      <c r="F341" s="37"/>
      <c r="G341" s="52"/>
      <c r="H341" s="12"/>
      <c r="I341" s="12"/>
      <c r="J341" s="52"/>
      <c r="K341" s="54"/>
      <c r="L341" s="309"/>
      <c r="M341" s="309"/>
      <c r="N341" s="309"/>
      <c r="O341" s="54"/>
    </row>
    <row r="342" spans="4:15" x14ac:dyDescent="0.3">
      <c r="D342" s="15"/>
      <c r="E342" s="15"/>
      <c r="F342" s="37"/>
      <c r="G342" s="52"/>
      <c r="H342" s="12"/>
      <c r="I342" s="12"/>
      <c r="J342" s="52"/>
      <c r="K342" s="54"/>
      <c r="L342" s="309"/>
      <c r="M342" s="309"/>
      <c r="N342" s="309"/>
      <c r="O342" s="54"/>
    </row>
    <row r="343" spans="4:15" x14ac:dyDescent="0.3">
      <c r="D343" s="15"/>
      <c r="E343" s="15"/>
      <c r="F343" s="37"/>
      <c r="G343" s="52"/>
      <c r="H343" s="12"/>
      <c r="I343" s="12"/>
      <c r="J343" s="52"/>
      <c r="K343" s="54"/>
      <c r="L343" s="309"/>
      <c r="M343" s="309"/>
      <c r="N343" s="309"/>
      <c r="O343" s="54"/>
    </row>
    <row r="344" spans="4:15" x14ac:dyDescent="0.3">
      <c r="D344" s="15"/>
      <c r="E344" s="15"/>
      <c r="F344" s="37"/>
      <c r="G344" s="52"/>
      <c r="H344" s="12"/>
      <c r="I344" s="12"/>
      <c r="J344" s="52"/>
      <c r="K344" s="54"/>
      <c r="L344" s="309"/>
      <c r="M344" s="309"/>
      <c r="N344" s="309"/>
      <c r="O344" s="54"/>
    </row>
    <row r="345" spans="4:15" x14ac:dyDescent="0.3">
      <c r="D345" s="15"/>
      <c r="E345" s="15"/>
      <c r="F345" s="37"/>
      <c r="G345" s="52"/>
      <c r="H345" s="12"/>
      <c r="I345" s="12"/>
      <c r="J345" s="52"/>
      <c r="K345" s="54"/>
      <c r="L345" s="309"/>
      <c r="M345" s="309"/>
      <c r="N345" s="309"/>
      <c r="O345" s="54"/>
    </row>
    <row r="346" spans="4:15" x14ac:dyDescent="0.3">
      <c r="D346" s="15"/>
      <c r="E346" s="15"/>
      <c r="F346" s="37"/>
      <c r="G346" s="52"/>
      <c r="H346" s="12"/>
      <c r="I346" s="12"/>
      <c r="J346" s="52"/>
      <c r="K346" s="54"/>
      <c r="L346" s="309"/>
      <c r="M346" s="309"/>
      <c r="N346" s="309"/>
      <c r="O346" s="54"/>
    </row>
    <row r="347" spans="4:15" x14ac:dyDescent="0.3">
      <c r="D347" s="15"/>
      <c r="E347" s="15"/>
      <c r="F347" s="37"/>
      <c r="G347" s="52"/>
      <c r="H347" s="12"/>
      <c r="I347" s="12"/>
      <c r="J347" s="52"/>
      <c r="K347" s="54"/>
      <c r="L347" s="309"/>
      <c r="M347" s="309"/>
      <c r="N347" s="309"/>
      <c r="O347" s="54"/>
    </row>
    <row r="348" spans="4:15" x14ac:dyDescent="0.3">
      <c r="D348" s="15"/>
      <c r="E348" s="15"/>
      <c r="F348" s="37"/>
      <c r="G348" s="52"/>
      <c r="H348" s="12"/>
      <c r="I348" s="12"/>
      <c r="J348" s="52"/>
      <c r="K348" s="54"/>
      <c r="L348" s="309"/>
      <c r="M348" s="309"/>
      <c r="N348" s="309"/>
      <c r="O348" s="54"/>
    </row>
    <row r="349" spans="4:15" x14ac:dyDescent="0.3">
      <c r="D349" s="15"/>
      <c r="E349" s="15"/>
      <c r="F349" s="37"/>
      <c r="G349" s="52"/>
      <c r="H349" s="12"/>
      <c r="I349" s="12"/>
      <c r="J349" s="52"/>
      <c r="K349" s="54"/>
      <c r="L349" s="309"/>
      <c r="M349" s="309"/>
      <c r="N349" s="309"/>
      <c r="O349" s="54"/>
    </row>
    <row r="350" spans="4:15" x14ac:dyDescent="0.3">
      <c r="D350" s="15"/>
      <c r="E350" s="15"/>
      <c r="F350" s="37"/>
      <c r="G350" s="52"/>
      <c r="H350" s="12"/>
      <c r="I350" s="12"/>
      <c r="J350" s="52"/>
      <c r="K350" s="54"/>
      <c r="L350" s="309"/>
      <c r="M350" s="309"/>
      <c r="N350" s="309"/>
      <c r="O350" s="54"/>
    </row>
    <row r="351" spans="4:15" x14ac:dyDescent="0.3">
      <c r="D351" s="15"/>
      <c r="E351" s="15"/>
      <c r="F351" s="37"/>
      <c r="G351" s="52"/>
      <c r="H351" s="12"/>
      <c r="I351" s="12"/>
      <c r="J351" s="52"/>
      <c r="K351" s="54"/>
      <c r="L351" s="309"/>
      <c r="M351" s="309"/>
      <c r="N351" s="309"/>
      <c r="O351" s="54"/>
    </row>
    <row r="352" spans="4:15" x14ac:dyDescent="0.3">
      <c r="D352" s="15"/>
      <c r="E352" s="15"/>
      <c r="F352" s="37"/>
      <c r="G352" s="52"/>
      <c r="H352" s="12"/>
      <c r="I352" s="12"/>
      <c r="J352" s="52"/>
      <c r="K352" s="54"/>
      <c r="L352" s="309"/>
      <c r="M352" s="309"/>
      <c r="N352" s="309"/>
      <c r="O352" s="54"/>
    </row>
    <row r="353" spans="4:15" x14ac:dyDescent="0.3">
      <c r="D353" s="15"/>
      <c r="E353" s="15"/>
      <c r="F353" s="37"/>
      <c r="G353" s="52"/>
      <c r="H353" s="12"/>
      <c r="I353" s="12"/>
      <c r="J353" s="52"/>
      <c r="K353" s="54"/>
      <c r="L353" s="309"/>
      <c r="M353" s="309"/>
      <c r="N353" s="309"/>
      <c r="O353" s="54"/>
    </row>
    <row r="354" spans="4:15" x14ac:dyDescent="0.3">
      <c r="D354" s="15"/>
      <c r="E354" s="15"/>
      <c r="F354" s="37"/>
      <c r="G354" s="52"/>
      <c r="H354" s="12"/>
      <c r="I354" s="12"/>
      <c r="J354" s="52"/>
      <c r="K354" s="54"/>
      <c r="L354" s="309"/>
      <c r="M354" s="309"/>
      <c r="N354" s="309"/>
      <c r="O354" s="54"/>
    </row>
    <row r="355" spans="4:15" x14ac:dyDescent="0.3">
      <c r="D355" s="15"/>
      <c r="E355" s="15"/>
      <c r="F355" s="37"/>
      <c r="G355" s="52"/>
      <c r="H355" s="12"/>
      <c r="I355" s="12"/>
      <c r="J355" s="52"/>
      <c r="K355" s="54"/>
      <c r="L355" s="309"/>
      <c r="M355" s="309"/>
      <c r="N355" s="309"/>
      <c r="O355" s="54"/>
    </row>
    <row r="356" spans="4:15" x14ac:dyDescent="0.3">
      <c r="D356" s="15"/>
      <c r="E356" s="15"/>
      <c r="F356" s="37"/>
      <c r="G356" s="52"/>
      <c r="H356" s="12"/>
      <c r="I356" s="12"/>
      <c r="J356" s="52"/>
      <c r="K356" s="54"/>
      <c r="L356" s="309"/>
      <c r="M356" s="309"/>
      <c r="N356" s="309"/>
      <c r="O356" s="54"/>
    </row>
    <row r="357" spans="4:15" x14ac:dyDescent="0.3">
      <c r="D357" s="15"/>
      <c r="E357" s="15"/>
      <c r="F357" s="37"/>
      <c r="G357" s="52"/>
      <c r="H357" s="12"/>
      <c r="I357" s="12"/>
      <c r="J357" s="52"/>
      <c r="K357" s="54"/>
      <c r="L357" s="309"/>
      <c r="M357" s="309"/>
      <c r="N357" s="309"/>
      <c r="O357" s="54"/>
    </row>
    <row r="358" spans="4:15" x14ac:dyDescent="0.3">
      <c r="D358" s="15"/>
      <c r="E358" s="15"/>
      <c r="F358" s="37"/>
      <c r="G358" s="52"/>
      <c r="H358" s="12"/>
      <c r="I358" s="12"/>
      <c r="J358" s="52"/>
      <c r="K358" s="54"/>
      <c r="L358" s="309"/>
      <c r="M358" s="309"/>
      <c r="N358" s="309"/>
      <c r="O358" s="54"/>
    </row>
    <row r="359" spans="4:15" x14ac:dyDescent="0.3">
      <c r="D359" s="15"/>
      <c r="E359" s="15"/>
      <c r="F359" s="37"/>
      <c r="G359" s="52"/>
      <c r="H359" s="12"/>
      <c r="I359" s="12"/>
      <c r="J359" s="52"/>
      <c r="K359" s="54"/>
      <c r="L359" s="309"/>
      <c r="M359" s="309"/>
      <c r="N359" s="309"/>
      <c r="O359" s="54"/>
    </row>
    <row r="360" spans="4:15" x14ac:dyDescent="0.3">
      <c r="D360" s="15"/>
      <c r="E360" s="15"/>
      <c r="F360" s="37"/>
      <c r="G360" s="52"/>
      <c r="H360" s="12"/>
      <c r="I360" s="12"/>
      <c r="J360" s="52"/>
      <c r="K360" s="54"/>
      <c r="L360" s="309"/>
      <c r="M360" s="309"/>
      <c r="N360" s="309"/>
      <c r="O360" s="54"/>
    </row>
    <row r="361" spans="4:15" x14ac:dyDescent="0.3">
      <c r="D361" s="15"/>
      <c r="E361" s="15"/>
      <c r="F361" s="37"/>
      <c r="G361" s="52"/>
      <c r="H361" s="12"/>
      <c r="I361" s="12"/>
      <c r="J361" s="52"/>
      <c r="K361" s="54"/>
      <c r="L361" s="309"/>
      <c r="M361" s="309"/>
      <c r="N361" s="309"/>
      <c r="O361" s="54"/>
    </row>
    <row r="362" spans="4:15" x14ac:dyDescent="0.3">
      <c r="D362" s="15"/>
      <c r="E362" s="15"/>
      <c r="F362" s="37"/>
      <c r="G362" s="52"/>
      <c r="H362" s="12"/>
      <c r="I362" s="12"/>
      <c r="J362" s="52"/>
      <c r="K362" s="54"/>
      <c r="L362" s="309"/>
      <c r="M362" s="309"/>
      <c r="N362" s="309"/>
      <c r="O362" s="54"/>
    </row>
    <row r="363" spans="4:15" x14ac:dyDescent="0.3">
      <c r="D363" s="15"/>
      <c r="E363" s="15"/>
      <c r="F363" s="37"/>
      <c r="G363" s="52"/>
      <c r="H363" s="12"/>
      <c r="I363" s="12"/>
      <c r="J363" s="52"/>
      <c r="K363" s="54"/>
      <c r="L363" s="309"/>
      <c r="M363" s="309"/>
      <c r="N363" s="309"/>
      <c r="O363" s="54"/>
    </row>
    <row r="364" spans="4:15" x14ac:dyDescent="0.3">
      <c r="D364" s="15"/>
      <c r="E364" s="15"/>
      <c r="F364" s="37"/>
      <c r="G364" s="52"/>
      <c r="H364" s="12"/>
      <c r="I364" s="12"/>
      <c r="J364" s="52"/>
      <c r="K364" s="54"/>
      <c r="L364" s="309"/>
      <c r="M364" s="309"/>
      <c r="N364" s="309"/>
      <c r="O364" s="54"/>
    </row>
    <row r="365" spans="4:15" x14ac:dyDescent="0.3">
      <c r="D365" s="15"/>
      <c r="E365" s="15"/>
      <c r="F365" s="37"/>
      <c r="G365" s="52"/>
      <c r="H365" s="12"/>
      <c r="I365" s="12"/>
      <c r="J365" s="52"/>
      <c r="K365" s="54"/>
      <c r="L365" s="309"/>
      <c r="M365" s="309"/>
      <c r="N365" s="309"/>
      <c r="O365" s="54"/>
    </row>
    <row r="366" spans="4:15" x14ac:dyDescent="0.3">
      <c r="D366" s="15"/>
      <c r="E366" s="15"/>
      <c r="F366" s="37"/>
      <c r="G366" s="52"/>
      <c r="H366" s="12"/>
      <c r="I366" s="12"/>
      <c r="J366" s="52"/>
      <c r="K366" s="54"/>
      <c r="L366" s="309"/>
      <c r="M366" s="309"/>
      <c r="N366" s="309"/>
      <c r="O366" s="54"/>
    </row>
    <row r="367" spans="4:15" x14ac:dyDescent="0.3">
      <c r="D367" s="15"/>
      <c r="E367" s="15"/>
      <c r="F367" s="37"/>
      <c r="G367" s="52"/>
      <c r="H367" s="12"/>
      <c r="I367" s="12"/>
      <c r="J367" s="52"/>
      <c r="K367" s="54"/>
      <c r="L367" s="309"/>
      <c r="M367" s="309"/>
      <c r="N367" s="309"/>
      <c r="O367" s="54"/>
    </row>
    <row r="368" spans="4:15" x14ac:dyDescent="0.3">
      <c r="D368" s="15"/>
      <c r="E368" s="15"/>
      <c r="F368" s="37"/>
      <c r="G368" s="52"/>
      <c r="H368" s="12"/>
      <c r="I368" s="12"/>
      <c r="J368" s="52"/>
      <c r="K368" s="54"/>
      <c r="L368" s="309"/>
      <c r="M368" s="309"/>
      <c r="N368" s="309"/>
      <c r="O368" s="54"/>
    </row>
    <row r="369" spans="4:15" x14ac:dyDescent="0.3">
      <c r="D369" s="15"/>
      <c r="E369" s="15"/>
      <c r="F369" s="37"/>
      <c r="G369" s="52"/>
      <c r="H369" s="12"/>
      <c r="I369" s="12"/>
      <c r="J369" s="52"/>
      <c r="K369" s="54"/>
      <c r="L369" s="309"/>
      <c r="M369" s="309"/>
      <c r="N369" s="309"/>
      <c r="O369" s="54"/>
    </row>
    <row r="370" spans="4:15" x14ac:dyDescent="0.3">
      <c r="D370" s="15"/>
      <c r="E370" s="15"/>
      <c r="F370" s="37"/>
      <c r="G370" s="52"/>
      <c r="H370" s="12"/>
      <c r="I370" s="12"/>
      <c r="J370" s="52"/>
      <c r="K370" s="54"/>
      <c r="L370" s="309"/>
      <c r="M370" s="309"/>
      <c r="N370" s="309"/>
      <c r="O370" s="54"/>
    </row>
    <row r="371" spans="4:15" x14ac:dyDescent="0.3">
      <c r="D371" s="15"/>
      <c r="E371" s="15"/>
      <c r="F371" s="37"/>
      <c r="G371" s="52"/>
      <c r="H371" s="12"/>
      <c r="I371" s="12"/>
      <c r="J371" s="52"/>
      <c r="K371" s="54"/>
      <c r="L371" s="309"/>
      <c r="M371" s="309"/>
      <c r="N371" s="309"/>
      <c r="O371" s="54"/>
    </row>
    <row r="372" spans="4:15" x14ac:dyDescent="0.3">
      <c r="D372" s="15"/>
      <c r="E372" s="15"/>
      <c r="F372" s="37"/>
      <c r="G372" s="52"/>
      <c r="H372" s="12"/>
      <c r="I372" s="12"/>
      <c r="J372" s="52"/>
      <c r="K372" s="54"/>
      <c r="L372" s="309"/>
      <c r="M372" s="309"/>
      <c r="N372" s="309"/>
      <c r="O372" s="54"/>
    </row>
    <row r="373" spans="4:15" x14ac:dyDescent="0.3">
      <c r="D373" s="15"/>
      <c r="E373" s="15"/>
      <c r="F373" s="37"/>
      <c r="G373" s="52"/>
      <c r="H373" s="12"/>
      <c r="I373" s="12"/>
      <c r="J373" s="52"/>
      <c r="K373" s="54"/>
      <c r="L373" s="309"/>
      <c r="M373" s="309"/>
      <c r="N373" s="309"/>
      <c r="O373" s="54"/>
    </row>
    <row r="374" spans="4:15" x14ac:dyDescent="0.3">
      <c r="D374" s="15"/>
      <c r="E374" s="15"/>
      <c r="F374" s="37"/>
      <c r="G374" s="52"/>
      <c r="H374" s="12"/>
      <c r="I374" s="12"/>
      <c r="J374" s="52"/>
      <c r="K374" s="54"/>
      <c r="L374" s="309"/>
      <c r="M374" s="309"/>
      <c r="N374" s="309"/>
      <c r="O374" s="54"/>
    </row>
    <row r="375" spans="4:15" x14ac:dyDescent="0.3">
      <c r="D375" s="15"/>
      <c r="E375" s="15"/>
      <c r="F375" s="37"/>
      <c r="G375" s="52"/>
      <c r="H375" s="12"/>
      <c r="I375" s="12"/>
      <c r="J375" s="52"/>
      <c r="K375" s="54"/>
      <c r="L375" s="309"/>
      <c r="M375" s="309"/>
      <c r="N375" s="309"/>
      <c r="O375" s="54"/>
    </row>
    <row r="376" spans="4:15" x14ac:dyDescent="0.3">
      <c r="D376" s="15"/>
      <c r="E376" s="15"/>
      <c r="F376" s="37"/>
      <c r="G376" s="52"/>
      <c r="H376" s="12"/>
      <c r="I376" s="12"/>
      <c r="J376" s="52"/>
      <c r="K376" s="54"/>
      <c r="L376" s="309"/>
      <c r="M376" s="309"/>
      <c r="N376" s="309"/>
      <c r="O376" s="54"/>
    </row>
    <row r="377" spans="4:15" x14ac:dyDescent="0.3">
      <c r="D377" s="15"/>
      <c r="E377" s="15"/>
      <c r="F377" s="37"/>
      <c r="G377" s="52"/>
      <c r="H377" s="12"/>
      <c r="I377" s="12"/>
      <c r="J377" s="52"/>
      <c r="K377" s="54"/>
      <c r="L377" s="309"/>
      <c r="M377" s="309"/>
      <c r="N377" s="309"/>
      <c r="O377" s="54"/>
    </row>
    <row r="378" spans="4:15" x14ac:dyDescent="0.3">
      <c r="D378" s="15"/>
      <c r="E378" s="15"/>
      <c r="F378" s="37"/>
      <c r="G378" s="52"/>
      <c r="H378" s="12"/>
      <c r="I378" s="12"/>
      <c r="J378" s="52"/>
      <c r="K378" s="54"/>
      <c r="L378" s="309"/>
      <c r="M378" s="309"/>
      <c r="N378" s="309"/>
      <c r="O378" s="54"/>
    </row>
    <row r="379" spans="4:15" x14ac:dyDescent="0.3">
      <c r="D379" s="15"/>
      <c r="E379" s="15"/>
      <c r="F379" s="37"/>
      <c r="G379" s="52"/>
      <c r="H379" s="12"/>
      <c r="I379" s="12"/>
      <c r="J379" s="52"/>
      <c r="K379" s="54"/>
      <c r="L379" s="309"/>
      <c r="M379" s="309"/>
      <c r="N379" s="309"/>
      <c r="O379" s="54"/>
    </row>
    <row r="380" spans="4:15" x14ac:dyDescent="0.3">
      <c r="D380" s="15"/>
      <c r="E380" s="15"/>
      <c r="F380" s="37"/>
      <c r="G380" s="52"/>
      <c r="H380" s="12"/>
      <c r="I380" s="12"/>
      <c r="J380" s="52"/>
      <c r="K380" s="54"/>
      <c r="L380" s="309"/>
      <c r="M380" s="309"/>
      <c r="N380" s="309"/>
      <c r="O380" s="54"/>
    </row>
    <row r="381" spans="4:15" x14ac:dyDescent="0.3">
      <c r="D381" s="15"/>
      <c r="E381" s="15"/>
      <c r="F381" s="37"/>
      <c r="G381" s="52"/>
      <c r="H381" s="12"/>
      <c r="I381" s="12"/>
      <c r="J381" s="52"/>
      <c r="K381" s="54"/>
      <c r="L381" s="309"/>
      <c r="M381" s="309"/>
      <c r="N381" s="309"/>
      <c r="O381" s="54"/>
    </row>
    <row r="382" spans="4:15" x14ac:dyDescent="0.3">
      <c r="D382" s="15"/>
      <c r="E382" s="15"/>
      <c r="F382" s="37"/>
      <c r="G382" s="52"/>
      <c r="H382" s="12"/>
      <c r="I382" s="12"/>
      <c r="J382" s="52"/>
      <c r="K382" s="54"/>
      <c r="L382" s="309"/>
      <c r="M382" s="309"/>
      <c r="N382" s="309"/>
      <c r="O382" s="54"/>
    </row>
    <row r="383" spans="4:15" x14ac:dyDescent="0.3">
      <c r="D383" s="15"/>
      <c r="E383" s="15"/>
      <c r="F383" s="37"/>
      <c r="G383" s="52"/>
      <c r="H383" s="12"/>
      <c r="I383" s="12"/>
      <c r="J383" s="52"/>
      <c r="K383" s="54"/>
      <c r="L383" s="309"/>
      <c r="M383" s="309"/>
      <c r="N383" s="309"/>
      <c r="O383" s="54"/>
    </row>
    <row r="384" spans="4:15" x14ac:dyDescent="0.3">
      <c r="D384" s="15"/>
      <c r="E384" s="15"/>
      <c r="F384" s="37"/>
      <c r="G384" s="52"/>
      <c r="H384" s="12"/>
      <c r="I384" s="12"/>
      <c r="J384" s="52"/>
      <c r="K384" s="54"/>
      <c r="L384" s="309"/>
      <c r="M384" s="309"/>
      <c r="N384" s="309"/>
      <c r="O384" s="54"/>
    </row>
    <row r="385" spans="4:15" x14ac:dyDescent="0.3">
      <c r="D385" s="15"/>
      <c r="E385" s="15"/>
      <c r="F385" s="37"/>
      <c r="G385" s="52"/>
      <c r="H385" s="12"/>
      <c r="I385" s="12"/>
      <c r="J385" s="52"/>
      <c r="K385" s="54"/>
      <c r="L385" s="309"/>
      <c r="M385" s="309"/>
      <c r="N385" s="309"/>
      <c r="O385" s="54"/>
    </row>
    <row r="386" spans="4:15" x14ac:dyDescent="0.3">
      <c r="D386" s="15"/>
      <c r="E386" s="15"/>
      <c r="F386" s="37"/>
      <c r="G386" s="52"/>
      <c r="H386" s="12"/>
      <c r="I386" s="12"/>
      <c r="J386" s="52"/>
      <c r="K386" s="54"/>
      <c r="L386" s="309"/>
      <c r="M386" s="309"/>
      <c r="N386" s="309"/>
      <c r="O386" s="54"/>
    </row>
    <row r="387" spans="4:15" x14ac:dyDescent="0.3">
      <c r="D387" s="15"/>
      <c r="E387" s="15"/>
      <c r="F387" s="37"/>
      <c r="G387" s="52"/>
      <c r="H387" s="12"/>
      <c r="I387" s="12"/>
      <c r="J387" s="52"/>
      <c r="K387" s="54"/>
      <c r="L387" s="309"/>
      <c r="M387" s="309"/>
      <c r="N387" s="309"/>
      <c r="O387" s="54"/>
    </row>
    <row r="388" spans="4:15" x14ac:dyDescent="0.3">
      <c r="D388" s="15"/>
      <c r="E388" s="15"/>
      <c r="F388" s="37"/>
      <c r="G388" s="52"/>
      <c r="H388" s="12"/>
      <c r="I388" s="12"/>
      <c r="J388" s="52"/>
      <c r="K388" s="54"/>
      <c r="L388" s="309"/>
      <c r="M388" s="309"/>
      <c r="N388" s="309"/>
      <c r="O388" s="54"/>
    </row>
    <row r="389" spans="4:15" x14ac:dyDescent="0.3">
      <c r="D389" s="15"/>
      <c r="E389" s="15"/>
      <c r="F389" s="37"/>
      <c r="G389" s="52"/>
      <c r="H389" s="12"/>
      <c r="I389" s="12"/>
      <c r="J389" s="52"/>
      <c r="K389" s="54"/>
      <c r="L389" s="309"/>
      <c r="M389" s="309"/>
      <c r="N389" s="309"/>
      <c r="O389" s="54"/>
    </row>
    <row r="390" spans="4:15" x14ac:dyDescent="0.3">
      <c r="D390" s="15"/>
      <c r="E390" s="15"/>
      <c r="F390" s="37"/>
      <c r="G390" s="52"/>
      <c r="H390" s="12"/>
      <c r="I390" s="12"/>
      <c r="J390" s="52"/>
      <c r="K390" s="54"/>
      <c r="L390" s="309"/>
      <c r="M390" s="309"/>
      <c r="N390" s="309"/>
      <c r="O390" s="54"/>
    </row>
    <row r="391" spans="4:15" x14ac:dyDescent="0.3">
      <c r="D391" s="15"/>
      <c r="E391" s="15"/>
      <c r="F391" s="37"/>
      <c r="G391" s="52"/>
      <c r="H391" s="12"/>
      <c r="I391" s="12"/>
      <c r="J391" s="52"/>
      <c r="K391" s="54"/>
      <c r="L391" s="309"/>
      <c r="M391" s="309"/>
      <c r="N391" s="309"/>
      <c r="O391" s="54"/>
    </row>
    <row r="392" spans="4:15" x14ac:dyDescent="0.3">
      <c r="D392" s="15"/>
      <c r="E392" s="15"/>
      <c r="F392" s="37"/>
      <c r="G392" s="52"/>
      <c r="H392" s="12"/>
      <c r="I392" s="12"/>
      <c r="J392" s="52"/>
      <c r="K392" s="54"/>
      <c r="L392" s="309"/>
      <c r="M392" s="309"/>
      <c r="N392" s="309"/>
      <c r="O392" s="54"/>
    </row>
    <row r="393" spans="4:15" x14ac:dyDescent="0.3">
      <c r="D393" s="15"/>
      <c r="E393" s="15"/>
      <c r="F393" s="37"/>
      <c r="G393" s="52"/>
      <c r="H393" s="12"/>
      <c r="I393" s="12"/>
      <c r="J393" s="52"/>
      <c r="K393" s="54"/>
      <c r="L393" s="309"/>
      <c r="M393" s="309"/>
      <c r="N393" s="309"/>
      <c r="O393" s="54"/>
    </row>
    <row r="394" spans="4:15" x14ac:dyDescent="0.3">
      <c r="D394" s="15"/>
      <c r="E394" s="15"/>
      <c r="F394" s="37"/>
      <c r="G394" s="52"/>
      <c r="H394" s="12"/>
      <c r="I394" s="12"/>
      <c r="J394" s="52"/>
      <c r="K394" s="54"/>
      <c r="L394" s="309"/>
      <c r="M394" s="309"/>
      <c r="N394" s="309"/>
      <c r="O394" s="54"/>
    </row>
    <row r="395" spans="4:15" x14ac:dyDescent="0.3">
      <c r="D395" s="15"/>
      <c r="E395" s="15"/>
      <c r="F395" s="37"/>
      <c r="G395" s="52"/>
      <c r="H395" s="12"/>
      <c r="I395" s="12"/>
      <c r="J395" s="52"/>
      <c r="K395" s="54"/>
      <c r="L395" s="309"/>
      <c r="M395" s="309"/>
      <c r="N395" s="309"/>
      <c r="O395" s="54"/>
    </row>
    <row r="396" spans="4:15" x14ac:dyDescent="0.3">
      <c r="D396" s="15"/>
      <c r="E396" s="15"/>
      <c r="F396" s="37"/>
      <c r="G396" s="52"/>
      <c r="H396" s="12"/>
      <c r="I396" s="12"/>
      <c r="J396" s="52"/>
      <c r="K396" s="54"/>
      <c r="L396" s="309"/>
      <c r="M396" s="309"/>
      <c r="N396" s="309"/>
      <c r="O396" s="54"/>
    </row>
    <row r="397" spans="4:15" x14ac:dyDescent="0.3">
      <c r="D397" s="15"/>
      <c r="E397" s="15"/>
      <c r="F397" s="37"/>
      <c r="G397" s="52"/>
      <c r="H397" s="12"/>
      <c r="I397" s="12"/>
      <c r="J397" s="52"/>
      <c r="K397" s="54"/>
      <c r="L397" s="309"/>
      <c r="M397" s="309"/>
      <c r="N397" s="309"/>
      <c r="O397" s="54"/>
    </row>
    <row r="398" spans="4:15" x14ac:dyDescent="0.3">
      <c r="D398" s="15"/>
      <c r="E398" s="15"/>
      <c r="F398" s="37"/>
      <c r="G398" s="52"/>
      <c r="H398" s="12"/>
      <c r="I398" s="12"/>
      <c r="J398" s="52"/>
      <c r="K398" s="54"/>
      <c r="L398" s="309"/>
      <c r="M398" s="309"/>
      <c r="N398" s="309"/>
      <c r="O398" s="54"/>
    </row>
    <row r="399" spans="4:15" x14ac:dyDescent="0.3">
      <c r="D399" s="15"/>
      <c r="E399" s="15"/>
      <c r="F399" s="37"/>
      <c r="G399" s="52"/>
      <c r="H399" s="12"/>
      <c r="I399" s="12"/>
      <c r="J399" s="52"/>
      <c r="K399" s="54"/>
      <c r="L399" s="309"/>
      <c r="M399" s="309"/>
      <c r="N399" s="309"/>
      <c r="O399" s="54"/>
    </row>
    <row r="400" spans="4:15" x14ac:dyDescent="0.3">
      <c r="D400" s="15"/>
      <c r="E400" s="15"/>
      <c r="F400" s="37"/>
      <c r="G400" s="52"/>
      <c r="H400" s="12"/>
      <c r="I400" s="12"/>
      <c r="J400" s="52"/>
      <c r="K400" s="54"/>
      <c r="L400" s="309"/>
      <c r="M400" s="309"/>
      <c r="N400" s="309"/>
      <c r="O400" s="54"/>
    </row>
    <row r="401" spans="4:15" x14ac:dyDescent="0.3">
      <c r="D401" s="15"/>
      <c r="E401" s="15"/>
      <c r="F401" s="37"/>
      <c r="G401" s="52"/>
      <c r="H401" s="12"/>
      <c r="I401" s="12"/>
      <c r="J401" s="52"/>
      <c r="K401" s="54"/>
      <c r="L401" s="309"/>
      <c r="M401" s="309"/>
      <c r="N401" s="309"/>
      <c r="O401" s="54"/>
    </row>
    <row r="402" spans="4:15" x14ac:dyDescent="0.3">
      <c r="D402" s="15"/>
      <c r="E402" s="15"/>
      <c r="F402" s="37"/>
      <c r="G402" s="52"/>
      <c r="H402" s="12"/>
      <c r="I402" s="12"/>
      <c r="J402" s="52"/>
      <c r="K402" s="54"/>
      <c r="L402" s="309"/>
      <c r="M402" s="309"/>
      <c r="N402" s="309"/>
      <c r="O402" s="54"/>
    </row>
    <row r="403" spans="4:15" x14ac:dyDescent="0.3">
      <c r="D403" s="15"/>
      <c r="E403" s="15"/>
      <c r="F403" s="37"/>
      <c r="G403" s="52"/>
      <c r="H403" s="12"/>
      <c r="I403" s="12"/>
      <c r="J403" s="52"/>
      <c r="K403" s="54"/>
      <c r="L403" s="309"/>
      <c r="M403" s="309"/>
      <c r="N403" s="309"/>
      <c r="O403" s="54"/>
    </row>
    <row r="404" spans="4:15" x14ac:dyDescent="0.3">
      <c r="D404" s="15"/>
      <c r="E404" s="15"/>
      <c r="F404" s="37"/>
      <c r="G404" s="52"/>
      <c r="H404" s="12"/>
      <c r="I404" s="12"/>
      <c r="J404" s="52"/>
      <c r="K404" s="54"/>
      <c r="L404" s="309"/>
      <c r="M404" s="309"/>
      <c r="N404" s="309"/>
      <c r="O404" s="54"/>
    </row>
    <row r="405" spans="4:15" x14ac:dyDescent="0.3">
      <c r="D405" s="15"/>
      <c r="E405" s="15"/>
      <c r="F405" s="37"/>
      <c r="G405" s="52"/>
      <c r="H405" s="12"/>
      <c r="I405" s="12"/>
      <c r="J405" s="52"/>
      <c r="K405" s="54"/>
      <c r="L405" s="309"/>
      <c r="M405" s="309"/>
      <c r="N405" s="309"/>
      <c r="O405" s="54"/>
    </row>
    <row r="406" spans="4:15" x14ac:dyDescent="0.3">
      <c r="D406" s="15"/>
      <c r="E406" s="15"/>
      <c r="F406" s="37"/>
      <c r="G406" s="52"/>
      <c r="H406" s="12"/>
      <c r="I406" s="12"/>
      <c r="J406" s="52"/>
      <c r="K406" s="54"/>
      <c r="L406" s="309"/>
      <c r="M406" s="309"/>
      <c r="N406" s="309"/>
      <c r="O406" s="54"/>
    </row>
    <row r="407" spans="4:15" x14ac:dyDescent="0.3">
      <c r="D407" s="15"/>
      <c r="E407" s="15"/>
      <c r="F407" s="37"/>
      <c r="G407" s="52"/>
      <c r="H407" s="12"/>
      <c r="I407" s="12"/>
      <c r="J407" s="52"/>
      <c r="K407" s="54"/>
      <c r="L407" s="309"/>
      <c r="M407" s="309"/>
      <c r="N407" s="309"/>
      <c r="O407" s="54"/>
    </row>
    <row r="408" spans="4:15" x14ac:dyDescent="0.3">
      <c r="D408" s="15"/>
      <c r="E408" s="15"/>
      <c r="F408" s="37"/>
      <c r="G408" s="52"/>
      <c r="H408" s="12"/>
      <c r="I408" s="12"/>
      <c r="J408" s="52"/>
      <c r="K408" s="54"/>
      <c r="L408" s="309"/>
      <c r="M408" s="309"/>
      <c r="N408" s="309"/>
      <c r="O408" s="54"/>
    </row>
    <row r="409" spans="4:15" x14ac:dyDescent="0.3">
      <c r="D409" s="15"/>
      <c r="E409" s="15"/>
      <c r="F409" s="37"/>
      <c r="G409" s="52"/>
      <c r="H409" s="12"/>
      <c r="I409" s="12"/>
      <c r="J409" s="52"/>
      <c r="K409" s="54"/>
      <c r="L409" s="309"/>
      <c r="M409" s="309"/>
      <c r="N409" s="309"/>
      <c r="O409" s="54"/>
    </row>
    <row r="410" spans="4:15" x14ac:dyDescent="0.3">
      <c r="D410" s="15"/>
      <c r="E410" s="15"/>
      <c r="F410" s="37"/>
      <c r="G410" s="52"/>
      <c r="H410" s="12"/>
      <c r="I410" s="12"/>
      <c r="J410" s="52"/>
      <c r="K410" s="54"/>
      <c r="L410" s="309"/>
      <c r="M410" s="309"/>
      <c r="N410" s="309"/>
      <c r="O410" s="54"/>
    </row>
    <row r="411" spans="4:15" x14ac:dyDescent="0.3">
      <c r="D411" s="15"/>
      <c r="E411" s="15"/>
      <c r="F411" s="37"/>
      <c r="G411" s="52"/>
      <c r="H411" s="12"/>
      <c r="I411" s="12"/>
      <c r="J411" s="52"/>
      <c r="K411" s="54"/>
      <c r="L411" s="309"/>
      <c r="M411" s="309"/>
      <c r="N411" s="309"/>
      <c r="O411" s="54"/>
    </row>
    <row r="412" spans="4:15" x14ac:dyDescent="0.3">
      <c r="D412" s="15"/>
      <c r="E412" s="15"/>
      <c r="F412" s="37"/>
      <c r="G412" s="52"/>
      <c r="H412" s="12"/>
      <c r="I412" s="12"/>
      <c r="J412" s="52"/>
      <c r="K412" s="54"/>
      <c r="L412" s="309"/>
      <c r="M412" s="309"/>
      <c r="N412" s="309"/>
      <c r="O412" s="54"/>
    </row>
    <row r="413" spans="4:15" x14ac:dyDescent="0.3">
      <c r="D413" s="15"/>
      <c r="E413" s="15"/>
      <c r="F413" s="37"/>
      <c r="G413" s="52"/>
      <c r="H413" s="12"/>
      <c r="I413" s="12"/>
      <c r="J413" s="52"/>
      <c r="K413" s="54"/>
      <c r="L413" s="309"/>
      <c r="M413" s="309"/>
      <c r="N413" s="309"/>
      <c r="O413" s="54"/>
    </row>
    <row r="414" spans="4:15" x14ac:dyDescent="0.3">
      <c r="D414" s="15"/>
      <c r="E414" s="15"/>
      <c r="F414" s="37"/>
      <c r="G414" s="52"/>
      <c r="H414" s="12"/>
      <c r="I414" s="12"/>
      <c r="J414" s="52"/>
      <c r="K414" s="54"/>
      <c r="L414" s="309"/>
      <c r="M414" s="309"/>
      <c r="N414" s="309"/>
      <c r="O414" s="54"/>
    </row>
    <row r="415" spans="4:15" x14ac:dyDescent="0.3">
      <c r="D415" s="15"/>
      <c r="E415" s="15"/>
      <c r="F415" s="37"/>
      <c r="G415" s="52"/>
      <c r="H415" s="12"/>
      <c r="I415" s="12"/>
      <c r="J415" s="52"/>
      <c r="K415" s="54"/>
      <c r="L415" s="309"/>
      <c r="M415" s="309"/>
      <c r="N415" s="309"/>
      <c r="O415" s="54"/>
    </row>
    <row r="416" spans="4:15" x14ac:dyDescent="0.3">
      <c r="D416" s="15"/>
      <c r="E416" s="15"/>
      <c r="F416" s="37"/>
      <c r="G416" s="52"/>
      <c r="H416" s="12"/>
      <c r="I416" s="12"/>
      <c r="J416" s="52"/>
      <c r="K416" s="54"/>
      <c r="L416" s="309"/>
      <c r="M416" s="309"/>
      <c r="N416" s="309"/>
      <c r="O416" s="54"/>
    </row>
    <row r="417" spans="4:15" x14ac:dyDescent="0.3">
      <c r="D417" s="15"/>
      <c r="E417" s="15"/>
      <c r="F417" s="37"/>
      <c r="G417" s="52"/>
      <c r="H417" s="12"/>
      <c r="I417" s="12"/>
      <c r="J417" s="52"/>
      <c r="K417" s="54"/>
      <c r="L417" s="309"/>
      <c r="M417" s="309"/>
      <c r="N417" s="309"/>
      <c r="O417" s="54"/>
    </row>
    <row r="418" spans="4:15" x14ac:dyDescent="0.3">
      <c r="D418" s="15"/>
      <c r="E418" s="15"/>
      <c r="F418" s="37"/>
      <c r="G418" s="52"/>
      <c r="H418" s="12"/>
      <c r="I418" s="12"/>
      <c r="J418" s="52"/>
      <c r="K418" s="54"/>
      <c r="L418" s="309"/>
      <c r="M418" s="309"/>
      <c r="N418" s="309"/>
      <c r="O418" s="54"/>
    </row>
    <row r="419" spans="4:15" x14ac:dyDescent="0.3">
      <c r="D419" s="15"/>
      <c r="E419" s="15"/>
      <c r="F419" s="37"/>
      <c r="G419" s="52"/>
      <c r="H419" s="12"/>
      <c r="I419" s="12"/>
      <c r="J419" s="52"/>
      <c r="K419" s="54"/>
      <c r="L419" s="309"/>
      <c r="M419" s="309"/>
      <c r="N419" s="309"/>
      <c r="O419" s="54"/>
    </row>
    <row r="420" spans="4:15" x14ac:dyDescent="0.3">
      <c r="D420" s="15"/>
      <c r="E420" s="15"/>
      <c r="F420" s="37"/>
      <c r="G420" s="52"/>
      <c r="H420" s="12"/>
      <c r="I420" s="12"/>
      <c r="J420" s="52"/>
      <c r="K420" s="54"/>
      <c r="L420" s="309"/>
      <c r="M420" s="309"/>
      <c r="N420" s="309"/>
      <c r="O420" s="54"/>
    </row>
    <row r="421" spans="4:15" x14ac:dyDescent="0.3">
      <c r="D421" s="15"/>
      <c r="E421" s="15"/>
      <c r="F421" s="37"/>
      <c r="G421" s="52"/>
      <c r="H421" s="12"/>
      <c r="I421" s="12"/>
      <c r="J421" s="52"/>
      <c r="K421" s="54"/>
      <c r="L421" s="309"/>
      <c r="M421" s="309"/>
      <c r="N421" s="309"/>
      <c r="O421" s="54"/>
    </row>
    <row r="422" spans="4:15" x14ac:dyDescent="0.3">
      <c r="D422" s="15"/>
      <c r="E422" s="15"/>
      <c r="F422" s="37"/>
      <c r="G422" s="52"/>
      <c r="H422" s="12"/>
      <c r="I422" s="12"/>
      <c r="J422" s="52"/>
      <c r="K422" s="54"/>
      <c r="L422" s="309"/>
      <c r="M422" s="309"/>
      <c r="N422" s="309"/>
      <c r="O422" s="54"/>
    </row>
    <row r="423" spans="4:15" x14ac:dyDescent="0.3">
      <c r="D423" s="15"/>
      <c r="E423" s="15"/>
      <c r="F423" s="37"/>
      <c r="G423" s="52"/>
      <c r="H423" s="12"/>
      <c r="I423" s="12"/>
      <c r="J423" s="52"/>
      <c r="K423" s="54"/>
      <c r="L423" s="309"/>
      <c r="M423" s="309"/>
      <c r="N423" s="309"/>
      <c r="O423" s="54"/>
    </row>
    <row r="424" spans="4:15" x14ac:dyDescent="0.3">
      <c r="D424" s="15"/>
      <c r="E424" s="15"/>
      <c r="F424" s="37"/>
      <c r="G424" s="52"/>
      <c r="H424" s="12"/>
      <c r="I424" s="12"/>
      <c r="J424" s="52"/>
      <c r="K424" s="54"/>
      <c r="L424" s="309"/>
      <c r="M424" s="309"/>
      <c r="N424" s="309"/>
      <c r="O424" s="54"/>
    </row>
    <row r="425" spans="4:15" x14ac:dyDescent="0.3">
      <c r="D425" s="15"/>
      <c r="E425" s="15"/>
      <c r="F425" s="37"/>
      <c r="G425" s="52"/>
      <c r="H425" s="12"/>
      <c r="I425" s="12"/>
      <c r="J425" s="52"/>
      <c r="K425" s="54"/>
      <c r="L425" s="309"/>
      <c r="M425" s="309"/>
      <c r="N425" s="309"/>
      <c r="O425" s="54"/>
    </row>
    <row r="426" spans="4:15" x14ac:dyDescent="0.3">
      <c r="D426" s="15"/>
      <c r="E426" s="15"/>
      <c r="F426" s="37"/>
      <c r="G426" s="52"/>
      <c r="H426" s="12"/>
      <c r="I426" s="12"/>
      <c r="J426" s="52"/>
      <c r="K426" s="54"/>
      <c r="L426" s="309"/>
      <c r="M426" s="309"/>
      <c r="N426" s="309"/>
      <c r="O426" s="54"/>
    </row>
    <row r="427" spans="4:15" x14ac:dyDescent="0.3">
      <c r="D427" s="15"/>
      <c r="E427" s="15"/>
      <c r="F427" s="37"/>
      <c r="G427" s="52"/>
      <c r="H427" s="12"/>
      <c r="I427" s="12"/>
      <c r="J427" s="52"/>
      <c r="K427" s="54"/>
      <c r="L427" s="309"/>
      <c r="M427" s="309"/>
      <c r="N427" s="309"/>
      <c r="O427" s="54"/>
    </row>
    <row r="428" spans="4:15" x14ac:dyDescent="0.3">
      <c r="D428" s="15"/>
      <c r="E428" s="15"/>
      <c r="F428" s="37"/>
      <c r="G428" s="52"/>
      <c r="H428" s="12"/>
      <c r="I428" s="12"/>
      <c r="J428" s="52"/>
      <c r="K428" s="54"/>
      <c r="L428" s="309"/>
      <c r="M428" s="309"/>
      <c r="N428" s="309"/>
      <c r="O428" s="54"/>
    </row>
    <row r="429" spans="4:15" x14ac:dyDescent="0.3">
      <c r="D429" s="15"/>
      <c r="E429" s="15"/>
      <c r="F429" s="37"/>
      <c r="G429" s="52"/>
      <c r="H429" s="12"/>
      <c r="I429" s="12"/>
      <c r="J429" s="52"/>
      <c r="K429" s="54"/>
      <c r="L429" s="309"/>
      <c r="M429" s="309"/>
      <c r="N429" s="309"/>
      <c r="O429" s="54"/>
    </row>
    <row r="430" spans="4:15" x14ac:dyDescent="0.3">
      <c r="D430" s="15"/>
      <c r="E430" s="15"/>
      <c r="F430" s="37"/>
      <c r="G430" s="52"/>
      <c r="H430" s="12"/>
      <c r="I430" s="12"/>
      <c r="J430" s="52"/>
      <c r="K430" s="54"/>
      <c r="L430" s="309"/>
      <c r="M430" s="309"/>
      <c r="N430" s="309"/>
      <c r="O430" s="54"/>
    </row>
    <row r="431" spans="4:15" x14ac:dyDescent="0.3">
      <c r="D431" s="15"/>
      <c r="E431" s="15"/>
      <c r="F431" s="37"/>
      <c r="G431" s="52"/>
      <c r="H431" s="12"/>
      <c r="I431" s="12"/>
      <c r="J431" s="52"/>
      <c r="K431" s="54"/>
      <c r="L431" s="309"/>
      <c r="M431" s="309"/>
      <c r="N431" s="309"/>
      <c r="O431" s="54"/>
    </row>
    <row r="432" spans="4:15" x14ac:dyDescent="0.3">
      <c r="D432" s="15"/>
      <c r="E432" s="15"/>
      <c r="F432" s="37"/>
      <c r="G432" s="52"/>
      <c r="H432" s="12"/>
      <c r="I432" s="12"/>
      <c r="J432" s="52"/>
      <c r="K432" s="54"/>
      <c r="L432" s="309"/>
      <c r="M432" s="309"/>
      <c r="N432" s="309"/>
      <c r="O432" s="54"/>
    </row>
    <row r="433" spans="4:15" x14ac:dyDescent="0.3">
      <c r="D433" s="15"/>
      <c r="E433" s="15"/>
      <c r="F433" s="37"/>
      <c r="G433" s="52"/>
      <c r="H433" s="12"/>
      <c r="I433" s="12"/>
      <c r="J433" s="52"/>
      <c r="K433" s="54"/>
      <c r="L433" s="309"/>
      <c r="M433" s="309"/>
      <c r="N433" s="309"/>
      <c r="O433" s="54"/>
    </row>
    <row r="434" spans="4:15" x14ac:dyDescent="0.3">
      <c r="D434" s="15"/>
      <c r="E434" s="15"/>
      <c r="F434" s="37"/>
      <c r="G434" s="52"/>
      <c r="H434" s="12"/>
      <c r="I434" s="12"/>
      <c r="J434" s="52"/>
      <c r="K434" s="54"/>
      <c r="L434" s="309"/>
      <c r="M434" s="309"/>
      <c r="N434" s="309"/>
      <c r="O434" s="54"/>
    </row>
    <row r="435" spans="4:15" x14ac:dyDescent="0.3">
      <c r="D435" s="15"/>
      <c r="E435" s="15"/>
      <c r="F435" s="37"/>
      <c r="G435" s="52"/>
      <c r="H435" s="12"/>
      <c r="I435" s="12"/>
      <c r="J435" s="52"/>
      <c r="K435" s="54"/>
      <c r="L435" s="309"/>
      <c r="M435" s="309"/>
      <c r="N435" s="309"/>
      <c r="O435" s="54"/>
    </row>
    <row r="436" spans="4:15" x14ac:dyDescent="0.3">
      <c r="D436" s="15"/>
      <c r="E436" s="15"/>
      <c r="F436" s="37"/>
      <c r="G436" s="52"/>
      <c r="H436" s="12"/>
      <c r="I436" s="12"/>
      <c r="J436" s="52"/>
      <c r="K436" s="54"/>
      <c r="L436" s="309"/>
      <c r="M436" s="309"/>
      <c r="N436" s="309"/>
      <c r="O436" s="54"/>
    </row>
    <row r="437" spans="4:15" x14ac:dyDescent="0.3">
      <c r="D437" s="15"/>
      <c r="E437" s="15"/>
      <c r="F437" s="37"/>
      <c r="G437" s="52"/>
      <c r="H437" s="12"/>
      <c r="I437" s="12"/>
      <c r="J437" s="52"/>
      <c r="K437" s="54"/>
      <c r="L437" s="309"/>
      <c r="M437" s="309"/>
      <c r="N437" s="309"/>
      <c r="O437" s="54"/>
    </row>
    <row r="438" spans="4:15" x14ac:dyDescent="0.3">
      <c r="D438" s="15"/>
      <c r="E438" s="15"/>
      <c r="F438" s="37"/>
      <c r="G438" s="52"/>
      <c r="H438" s="12"/>
      <c r="I438" s="12"/>
      <c r="J438" s="52"/>
      <c r="K438" s="54"/>
      <c r="L438" s="309"/>
      <c r="M438" s="309"/>
      <c r="N438" s="309"/>
      <c r="O438" s="54"/>
    </row>
    <row r="439" spans="4:15" x14ac:dyDescent="0.3">
      <c r="D439" s="15"/>
      <c r="E439" s="15"/>
      <c r="F439" s="37"/>
      <c r="G439" s="52"/>
      <c r="H439" s="12"/>
      <c r="I439" s="12"/>
      <c r="J439" s="52"/>
      <c r="K439" s="54"/>
      <c r="L439" s="309"/>
      <c r="M439" s="309"/>
      <c r="N439" s="309"/>
      <c r="O439" s="54"/>
    </row>
    <row r="440" spans="4:15" x14ac:dyDescent="0.3">
      <c r="D440" s="15"/>
      <c r="E440" s="15"/>
      <c r="F440" s="37"/>
      <c r="G440" s="52"/>
      <c r="H440" s="12"/>
      <c r="I440" s="12"/>
      <c r="J440" s="52"/>
      <c r="K440" s="54"/>
      <c r="L440" s="309"/>
      <c r="M440" s="309"/>
      <c r="N440" s="309"/>
      <c r="O440" s="54"/>
    </row>
    <row r="441" spans="4:15" x14ac:dyDescent="0.3">
      <c r="D441" s="15"/>
      <c r="E441" s="15"/>
      <c r="F441" s="37"/>
      <c r="G441" s="52"/>
      <c r="H441" s="12"/>
      <c r="I441" s="12"/>
      <c r="J441" s="52"/>
      <c r="K441" s="54"/>
      <c r="L441" s="309"/>
      <c r="M441" s="309"/>
      <c r="N441" s="309"/>
      <c r="O441" s="54"/>
    </row>
    <row r="442" spans="4:15" x14ac:dyDescent="0.3">
      <c r="D442" s="15"/>
      <c r="E442" s="15"/>
      <c r="F442" s="37"/>
      <c r="G442" s="52"/>
      <c r="H442" s="12"/>
      <c r="I442" s="12"/>
      <c r="J442" s="52"/>
      <c r="K442" s="54"/>
      <c r="L442" s="309"/>
      <c r="M442" s="309"/>
      <c r="N442" s="309"/>
      <c r="O442" s="54"/>
    </row>
    <row r="443" spans="4:15" x14ac:dyDescent="0.3">
      <c r="D443" s="15"/>
      <c r="E443" s="15"/>
      <c r="F443" s="37"/>
      <c r="G443" s="52"/>
      <c r="H443" s="12"/>
      <c r="I443" s="12"/>
      <c r="J443" s="52"/>
      <c r="K443" s="54"/>
      <c r="L443" s="309"/>
      <c r="M443" s="309"/>
      <c r="N443" s="309"/>
      <c r="O443" s="54"/>
    </row>
    <row r="444" spans="4:15" x14ac:dyDescent="0.3">
      <c r="D444" s="15"/>
      <c r="E444" s="15"/>
      <c r="F444" s="37"/>
      <c r="G444" s="52"/>
      <c r="H444" s="12"/>
      <c r="I444" s="12"/>
      <c r="J444" s="52"/>
      <c r="K444" s="54"/>
      <c r="L444" s="309"/>
      <c r="M444" s="309"/>
      <c r="N444" s="309"/>
      <c r="O444" s="54"/>
    </row>
    <row r="445" spans="4:15" x14ac:dyDescent="0.3">
      <c r="D445" s="15"/>
      <c r="E445" s="15"/>
      <c r="F445" s="37"/>
      <c r="G445" s="52"/>
      <c r="H445" s="12"/>
      <c r="I445" s="12"/>
      <c r="J445" s="52"/>
      <c r="K445" s="54"/>
      <c r="L445" s="309"/>
      <c r="M445" s="309"/>
      <c r="N445" s="309"/>
      <c r="O445" s="54"/>
    </row>
    <row r="446" spans="4:15" x14ac:dyDescent="0.3">
      <c r="D446" s="15"/>
      <c r="E446" s="15"/>
      <c r="F446" s="37"/>
      <c r="G446" s="52"/>
      <c r="H446" s="12"/>
      <c r="I446" s="12"/>
      <c r="J446" s="52"/>
      <c r="K446" s="54"/>
      <c r="L446" s="309"/>
      <c r="M446" s="309"/>
      <c r="N446" s="309"/>
      <c r="O446" s="54"/>
    </row>
    <row r="447" spans="4:15" x14ac:dyDescent="0.3">
      <c r="D447" s="15"/>
      <c r="E447" s="15"/>
      <c r="F447" s="37"/>
      <c r="G447" s="52"/>
      <c r="H447" s="12"/>
      <c r="I447" s="12"/>
      <c r="J447" s="52"/>
      <c r="K447" s="54"/>
      <c r="L447" s="309"/>
      <c r="M447" s="309"/>
      <c r="N447" s="309"/>
      <c r="O447" s="54"/>
    </row>
    <row r="448" spans="4:15" x14ac:dyDescent="0.3">
      <c r="D448" s="15"/>
      <c r="E448" s="15"/>
      <c r="F448" s="37"/>
      <c r="G448" s="52"/>
      <c r="H448" s="12"/>
      <c r="I448" s="12"/>
      <c r="J448" s="52"/>
      <c r="K448" s="54"/>
      <c r="L448" s="309"/>
      <c r="M448" s="309"/>
      <c r="N448" s="309"/>
      <c r="O448" s="54"/>
    </row>
    <row r="449" spans="4:15" x14ac:dyDescent="0.3">
      <c r="D449" s="15"/>
      <c r="E449" s="15"/>
      <c r="F449" s="37"/>
      <c r="G449" s="52"/>
      <c r="H449" s="12"/>
      <c r="I449" s="12"/>
      <c r="J449" s="52"/>
      <c r="K449" s="54"/>
      <c r="L449" s="309"/>
      <c r="M449" s="309"/>
      <c r="N449" s="309"/>
      <c r="O449" s="54"/>
    </row>
    <row r="450" spans="4:15" x14ac:dyDescent="0.3">
      <c r="D450" s="15"/>
      <c r="E450" s="15"/>
      <c r="F450" s="37"/>
      <c r="G450" s="52"/>
      <c r="H450" s="12"/>
      <c r="I450" s="12"/>
      <c r="J450" s="52"/>
      <c r="K450" s="54"/>
      <c r="L450" s="309"/>
      <c r="M450" s="309"/>
      <c r="N450" s="309"/>
      <c r="O450" s="54"/>
    </row>
    <row r="451" spans="4:15" x14ac:dyDescent="0.3">
      <c r="D451" s="15"/>
      <c r="E451" s="15"/>
      <c r="F451" s="37"/>
      <c r="G451" s="52"/>
      <c r="H451" s="12"/>
      <c r="I451" s="12"/>
      <c r="J451" s="52"/>
      <c r="K451" s="54"/>
      <c r="L451" s="309"/>
      <c r="M451" s="309"/>
      <c r="N451" s="309"/>
      <c r="O451" s="54"/>
    </row>
    <row r="452" spans="4:15" x14ac:dyDescent="0.3">
      <c r="D452" s="15"/>
      <c r="E452" s="15"/>
      <c r="F452" s="37"/>
      <c r="G452" s="52"/>
      <c r="H452" s="12"/>
      <c r="I452" s="12"/>
      <c r="J452" s="52"/>
      <c r="K452" s="54"/>
      <c r="L452" s="309"/>
      <c r="M452" s="309"/>
      <c r="N452" s="309"/>
      <c r="O452" s="54"/>
    </row>
    <row r="453" spans="4:15" x14ac:dyDescent="0.3">
      <c r="D453" s="15"/>
      <c r="E453" s="15"/>
      <c r="F453" s="37"/>
      <c r="G453" s="52"/>
      <c r="H453" s="12"/>
      <c r="I453" s="12"/>
      <c r="J453" s="52"/>
      <c r="K453" s="54"/>
      <c r="L453" s="309"/>
      <c r="M453" s="309"/>
      <c r="N453" s="309"/>
      <c r="O453" s="54"/>
    </row>
    <row r="454" spans="4:15" x14ac:dyDescent="0.3">
      <c r="D454" s="15"/>
      <c r="E454" s="15"/>
      <c r="F454" s="37"/>
      <c r="G454" s="52"/>
      <c r="H454" s="12"/>
      <c r="I454" s="12"/>
      <c r="J454" s="52"/>
      <c r="K454" s="54"/>
      <c r="L454" s="309"/>
      <c r="M454" s="309"/>
      <c r="N454" s="309"/>
      <c r="O454" s="54"/>
    </row>
    <row r="455" spans="4:15" x14ac:dyDescent="0.3">
      <c r="D455" s="15"/>
      <c r="E455" s="15"/>
      <c r="F455" s="37"/>
      <c r="G455" s="52"/>
      <c r="H455" s="12"/>
      <c r="I455" s="12"/>
      <c r="J455" s="52"/>
      <c r="K455" s="54"/>
      <c r="L455" s="309"/>
      <c r="M455" s="309"/>
      <c r="N455" s="309"/>
      <c r="O455" s="54"/>
    </row>
    <row r="456" spans="4:15" x14ac:dyDescent="0.3">
      <c r="D456" s="15"/>
      <c r="E456" s="15"/>
      <c r="F456" s="37"/>
      <c r="G456" s="52"/>
      <c r="H456" s="12"/>
      <c r="I456" s="12"/>
      <c r="J456" s="52"/>
      <c r="K456" s="54"/>
      <c r="L456" s="309"/>
      <c r="M456" s="309"/>
      <c r="N456" s="309"/>
      <c r="O456" s="54"/>
    </row>
    <row r="457" spans="4:15" x14ac:dyDescent="0.3">
      <c r="D457" s="15"/>
      <c r="E457" s="15"/>
      <c r="F457" s="37"/>
      <c r="G457" s="52"/>
      <c r="H457" s="12"/>
      <c r="I457" s="12"/>
      <c r="J457" s="52"/>
      <c r="K457" s="54"/>
      <c r="L457" s="309"/>
      <c r="M457" s="309"/>
      <c r="N457" s="309"/>
      <c r="O457" s="54"/>
    </row>
    <row r="458" spans="4:15" x14ac:dyDescent="0.3">
      <c r="D458" s="15"/>
      <c r="E458" s="15"/>
      <c r="F458" s="37"/>
      <c r="G458" s="52"/>
      <c r="H458" s="12"/>
      <c r="I458" s="12"/>
      <c r="J458" s="52"/>
      <c r="K458" s="54"/>
      <c r="L458" s="309"/>
      <c r="M458" s="309"/>
      <c r="N458" s="309"/>
      <c r="O458" s="54"/>
    </row>
    <row r="459" spans="4:15" x14ac:dyDescent="0.3">
      <c r="D459" s="15"/>
      <c r="E459" s="15"/>
      <c r="F459" s="37"/>
      <c r="G459" s="52"/>
      <c r="H459" s="12"/>
      <c r="I459" s="12"/>
      <c r="J459" s="52"/>
      <c r="K459" s="54"/>
      <c r="L459" s="309"/>
      <c r="M459" s="309"/>
      <c r="N459" s="309"/>
      <c r="O459" s="54"/>
    </row>
    <row r="460" spans="4:15" x14ac:dyDescent="0.3">
      <c r="D460" s="15"/>
      <c r="E460" s="15"/>
      <c r="F460" s="37"/>
      <c r="G460" s="52"/>
      <c r="H460" s="12"/>
      <c r="I460" s="12"/>
      <c r="J460" s="52"/>
      <c r="K460" s="54"/>
      <c r="L460" s="309"/>
      <c r="M460" s="309"/>
      <c r="N460" s="309"/>
      <c r="O460" s="54"/>
    </row>
    <row r="461" spans="4:15" x14ac:dyDescent="0.3">
      <c r="D461" s="15"/>
      <c r="E461" s="15"/>
      <c r="F461" s="37"/>
      <c r="G461" s="52"/>
      <c r="H461" s="12"/>
      <c r="I461" s="12"/>
      <c r="J461" s="52"/>
      <c r="K461" s="54"/>
      <c r="L461" s="309"/>
      <c r="M461" s="309"/>
      <c r="N461" s="309"/>
      <c r="O461" s="54"/>
    </row>
    <row r="462" spans="4:15" x14ac:dyDescent="0.3">
      <c r="D462" s="15"/>
      <c r="E462" s="15"/>
      <c r="F462" s="37"/>
      <c r="G462" s="52"/>
      <c r="H462" s="12"/>
      <c r="I462" s="12"/>
      <c r="J462" s="52"/>
      <c r="K462" s="54"/>
      <c r="L462" s="309"/>
      <c r="M462" s="309"/>
      <c r="N462" s="309"/>
      <c r="O462" s="54"/>
    </row>
    <row r="463" spans="4:15" x14ac:dyDescent="0.3">
      <c r="D463" s="15"/>
      <c r="E463" s="15"/>
      <c r="F463" s="37"/>
      <c r="G463" s="52"/>
      <c r="H463" s="12"/>
      <c r="I463" s="12"/>
      <c r="J463" s="52"/>
      <c r="K463" s="54"/>
      <c r="L463" s="309"/>
      <c r="M463" s="309"/>
      <c r="N463" s="309"/>
      <c r="O463" s="54"/>
    </row>
    <row r="464" spans="4:15" x14ac:dyDescent="0.3">
      <c r="D464" s="15"/>
      <c r="E464" s="15"/>
      <c r="F464" s="37"/>
      <c r="G464" s="52"/>
      <c r="H464" s="12"/>
      <c r="I464" s="12"/>
      <c r="J464" s="52"/>
      <c r="K464" s="54"/>
      <c r="L464" s="309"/>
      <c r="M464" s="309"/>
      <c r="N464" s="309"/>
      <c r="O464" s="54"/>
    </row>
    <row r="465" spans="4:15" x14ac:dyDescent="0.3">
      <c r="D465" s="15"/>
      <c r="E465" s="15"/>
      <c r="F465" s="37"/>
      <c r="G465" s="52"/>
      <c r="H465" s="12"/>
      <c r="I465" s="12"/>
      <c r="J465" s="52"/>
      <c r="K465" s="54"/>
      <c r="L465" s="309"/>
      <c r="M465" s="309"/>
      <c r="N465" s="309"/>
      <c r="O465" s="54"/>
    </row>
    <row r="466" spans="4:15" x14ac:dyDescent="0.3">
      <c r="D466" s="15"/>
      <c r="E466" s="15"/>
      <c r="F466" s="37"/>
      <c r="G466" s="52"/>
      <c r="H466" s="12"/>
      <c r="I466" s="12"/>
      <c r="J466" s="52"/>
      <c r="K466" s="54"/>
      <c r="L466" s="309"/>
      <c r="M466" s="309"/>
      <c r="N466" s="309"/>
      <c r="O466" s="54"/>
    </row>
    <row r="467" spans="4:15" x14ac:dyDescent="0.3">
      <c r="D467" s="15"/>
      <c r="E467" s="15"/>
      <c r="F467" s="37"/>
      <c r="G467" s="52"/>
      <c r="H467" s="12"/>
      <c r="I467" s="12"/>
      <c r="J467" s="52"/>
      <c r="K467" s="54"/>
      <c r="L467" s="309"/>
      <c r="M467" s="309"/>
      <c r="N467" s="309"/>
      <c r="O467" s="54"/>
    </row>
    <row r="468" spans="4:15" x14ac:dyDescent="0.3">
      <c r="D468" s="15"/>
      <c r="E468" s="15"/>
      <c r="F468" s="37"/>
      <c r="G468" s="52"/>
      <c r="H468" s="12"/>
      <c r="I468" s="12"/>
      <c r="J468" s="52"/>
      <c r="K468" s="54"/>
      <c r="L468" s="309"/>
      <c r="M468" s="309"/>
      <c r="N468" s="309"/>
      <c r="O468" s="54"/>
    </row>
    <row r="469" spans="4:15" x14ac:dyDescent="0.3">
      <c r="D469" s="15"/>
      <c r="E469" s="15"/>
      <c r="F469" s="37"/>
      <c r="G469" s="52"/>
      <c r="H469" s="12"/>
      <c r="I469" s="12"/>
      <c r="J469" s="52"/>
      <c r="K469" s="54"/>
      <c r="L469" s="309"/>
      <c r="M469" s="309"/>
      <c r="N469" s="309"/>
      <c r="O469" s="54"/>
    </row>
    <row r="470" spans="4:15" x14ac:dyDescent="0.3">
      <c r="D470" s="15"/>
      <c r="E470" s="15"/>
      <c r="F470" s="37"/>
      <c r="G470" s="52"/>
      <c r="H470" s="12"/>
      <c r="I470" s="12"/>
      <c r="J470" s="52"/>
      <c r="K470" s="54"/>
      <c r="L470" s="309"/>
      <c r="M470" s="309"/>
      <c r="N470" s="309"/>
      <c r="O470" s="54"/>
    </row>
    <row r="471" spans="4:15" x14ac:dyDescent="0.3">
      <c r="D471" s="15"/>
      <c r="E471" s="15"/>
      <c r="F471" s="37"/>
      <c r="G471" s="52"/>
      <c r="H471" s="12"/>
      <c r="I471" s="12"/>
      <c r="J471" s="52"/>
      <c r="K471" s="54"/>
      <c r="L471" s="309"/>
      <c r="M471" s="309"/>
      <c r="N471" s="309"/>
      <c r="O471" s="54"/>
    </row>
    <row r="472" spans="4:15" x14ac:dyDescent="0.3">
      <c r="D472" s="15"/>
      <c r="E472" s="15"/>
      <c r="F472" s="37"/>
      <c r="G472" s="52"/>
      <c r="H472" s="12"/>
      <c r="I472" s="12"/>
      <c r="J472" s="52"/>
      <c r="K472" s="54"/>
      <c r="L472" s="309"/>
      <c r="M472" s="309"/>
      <c r="N472" s="309"/>
      <c r="O472" s="54"/>
    </row>
    <row r="473" spans="4:15" x14ac:dyDescent="0.3">
      <c r="D473" s="15"/>
      <c r="E473" s="15"/>
      <c r="F473" s="37"/>
      <c r="G473" s="52"/>
      <c r="H473" s="12"/>
      <c r="I473" s="12"/>
      <c r="J473" s="52"/>
      <c r="K473" s="54"/>
      <c r="L473" s="309"/>
      <c r="M473" s="309"/>
      <c r="N473" s="309"/>
      <c r="O473" s="54"/>
    </row>
    <row r="474" spans="4:15" x14ac:dyDescent="0.3">
      <c r="D474" s="15"/>
      <c r="E474" s="15"/>
      <c r="F474" s="37"/>
      <c r="G474" s="52"/>
      <c r="H474" s="12"/>
      <c r="I474" s="12"/>
      <c r="J474" s="52"/>
      <c r="K474" s="54"/>
      <c r="L474" s="309"/>
      <c r="M474" s="309"/>
      <c r="N474" s="309"/>
      <c r="O474" s="54"/>
    </row>
    <row r="475" spans="4:15" x14ac:dyDescent="0.3">
      <c r="D475" s="15"/>
      <c r="E475" s="15"/>
      <c r="F475" s="37"/>
      <c r="G475" s="52"/>
      <c r="H475" s="12"/>
      <c r="I475" s="12"/>
      <c r="J475" s="52"/>
      <c r="K475" s="54"/>
      <c r="L475" s="309"/>
      <c r="M475" s="309"/>
      <c r="N475" s="309"/>
      <c r="O475" s="54"/>
    </row>
    <row r="476" spans="4:15" x14ac:dyDescent="0.3">
      <c r="D476" s="15"/>
      <c r="E476" s="15"/>
      <c r="F476" s="37"/>
      <c r="G476" s="52"/>
      <c r="H476" s="12"/>
      <c r="I476" s="12"/>
      <c r="J476" s="52"/>
      <c r="K476" s="54"/>
      <c r="L476" s="309"/>
      <c r="M476" s="309"/>
      <c r="N476" s="309"/>
      <c r="O476" s="54"/>
    </row>
    <row r="477" spans="4:15" x14ac:dyDescent="0.3">
      <c r="D477" s="15"/>
      <c r="E477" s="15"/>
      <c r="F477" s="37"/>
      <c r="G477" s="52"/>
      <c r="H477" s="12"/>
      <c r="I477" s="12"/>
      <c r="J477" s="52"/>
      <c r="K477" s="54"/>
      <c r="L477" s="309"/>
      <c r="M477" s="309"/>
      <c r="N477" s="309"/>
      <c r="O477" s="54"/>
    </row>
    <row r="478" spans="4:15" x14ac:dyDescent="0.3">
      <c r="D478" s="15"/>
      <c r="E478" s="15"/>
      <c r="F478" s="37"/>
      <c r="G478" s="52"/>
      <c r="H478" s="12"/>
      <c r="I478" s="12"/>
      <c r="J478" s="52"/>
      <c r="K478" s="54"/>
      <c r="L478" s="309"/>
      <c r="M478" s="309"/>
      <c r="N478" s="309"/>
      <c r="O478" s="54"/>
    </row>
    <row r="479" spans="4:15" x14ac:dyDescent="0.3">
      <c r="D479" s="15"/>
      <c r="E479" s="15"/>
      <c r="F479" s="37"/>
      <c r="G479" s="52"/>
      <c r="H479" s="12"/>
      <c r="I479" s="12"/>
      <c r="J479" s="52"/>
      <c r="K479" s="54"/>
      <c r="L479" s="309"/>
      <c r="M479" s="309"/>
      <c r="N479" s="309"/>
      <c r="O479" s="54"/>
    </row>
    <row r="480" spans="4:15" x14ac:dyDescent="0.3">
      <c r="D480" s="15"/>
      <c r="E480" s="15"/>
      <c r="F480" s="37"/>
      <c r="G480" s="52"/>
      <c r="H480" s="12"/>
      <c r="I480" s="12"/>
      <c r="J480" s="52"/>
      <c r="K480" s="54"/>
      <c r="L480" s="309"/>
      <c r="M480" s="309"/>
      <c r="N480" s="309"/>
      <c r="O480" s="54"/>
    </row>
    <row r="481" spans="4:15" x14ac:dyDescent="0.3">
      <c r="D481" s="15"/>
      <c r="E481" s="15"/>
      <c r="F481" s="37"/>
      <c r="G481" s="52"/>
      <c r="H481" s="12"/>
      <c r="I481" s="12"/>
      <c r="J481" s="52"/>
      <c r="K481" s="54"/>
      <c r="L481" s="309"/>
      <c r="M481" s="309"/>
      <c r="N481" s="309"/>
      <c r="O481" s="54"/>
    </row>
    <row r="482" spans="4:15" x14ac:dyDescent="0.3">
      <c r="D482" s="15"/>
      <c r="E482" s="15"/>
      <c r="F482" s="37"/>
      <c r="G482" s="52"/>
      <c r="H482" s="12"/>
      <c r="I482" s="12"/>
      <c r="J482" s="52"/>
      <c r="K482" s="54"/>
      <c r="L482" s="309"/>
      <c r="M482" s="309"/>
      <c r="N482" s="309"/>
      <c r="O482" s="54"/>
    </row>
    <row r="483" spans="4:15" x14ac:dyDescent="0.3">
      <c r="D483" s="15"/>
      <c r="E483" s="15"/>
      <c r="F483" s="37"/>
      <c r="G483" s="52"/>
      <c r="H483" s="12"/>
      <c r="I483" s="12"/>
      <c r="J483" s="52"/>
      <c r="K483" s="54"/>
      <c r="L483" s="309"/>
      <c r="M483" s="309"/>
      <c r="N483" s="309"/>
      <c r="O483" s="54"/>
    </row>
    <row r="484" spans="4:15" x14ac:dyDescent="0.3">
      <c r="D484" s="15"/>
      <c r="E484" s="15"/>
      <c r="F484" s="37"/>
      <c r="G484" s="52"/>
      <c r="H484" s="12"/>
      <c r="I484" s="12"/>
      <c r="J484" s="52"/>
      <c r="K484" s="54"/>
      <c r="L484" s="309"/>
      <c r="M484" s="309"/>
      <c r="N484" s="309"/>
      <c r="O484" s="54"/>
    </row>
    <row r="485" spans="4:15" x14ac:dyDescent="0.3">
      <c r="D485" s="15"/>
      <c r="E485" s="15"/>
      <c r="F485" s="37"/>
      <c r="G485" s="52"/>
      <c r="H485" s="12"/>
      <c r="I485" s="12"/>
      <c r="J485" s="52"/>
      <c r="K485" s="54"/>
      <c r="L485" s="309"/>
      <c r="M485" s="309"/>
      <c r="N485" s="309"/>
      <c r="O485" s="54"/>
    </row>
    <row r="486" spans="4:15" x14ac:dyDescent="0.3">
      <c r="D486" s="15"/>
      <c r="E486" s="15"/>
      <c r="F486" s="37"/>
      <c r="G486" s="52"/>
      <c r="H486" s="12"/>
      <c r="I486" s="12"/>
      <c r="J486" s="52"/>
      <c r="K486" s="54"/>
      <c r="L486" s="309"/>
      <c r="M486" s="309"/>
      <c r="N486" s="309"/>
      <c r="O486" s="54"/>
    </row>
    <row r="487" spans="4:15" x14ac:dyDescent="0.3">
      <c r="D487" s="15"/>
      <c r="E487" s="15"/>
      <c r="F487" s="37"/>
      <c r="G487" s="52"/>
      <c r="H487" s="12"/>
      <c r="I487" s="12"/>
      <c r="J487" s="52"/>
      <c r="K487" s="54"/>
      <c r="L487" s="309"/>
      <c r="M487" s="309"/>
      <c r="N487" s="309"/>
      <c r="O487" s="54"/>
    </row>
    <row r="488" spans="4:15" x14ac:dyDescent="0.3">
      <c r="D488" s="15"/>
      <c r="E488" s="15"/>
      <c r="F488" s="37"/>
      <c r="G488" s="52"/>
      <c r="H488" s="12"/>
      <c r="I488" s="12"/>
      <c r="J488" s="52"/>
      <c r="K488" s="54"/>
      <c r="L488" s="309"/>
      <c r="M488" s="309"/>
      <c r="N488" s="309"/>
      <c r="O488" s="54"/>
    </row>
    <row r="489" spans="4:15" x14ac:dyDescent="0.3">
      <c r="D489" s="15"/>
      <c r="E489" s="15"/>
      <c r="F489" s="37"/>
      <c r="G489" s="52"/>
      <c r="H489" s="12"/>
      <c r="I489" s="12"/>
      <c r="J489" s="52"/>
      <c r="K489" s="54"/>
      <c r="L489" s="309"/>
      <c r="M489" s="309"/>
      <c r="N489" s="309"/>
      <c r="O489" s="54"/>
    </row>
    <row r="490" spans="4:15" x14ac:dyDescent="0.3">
      <c r="D490" s="15"/>
      <c r="E490" s="15"/>
      <c r="F490" s="37"/>
      <c r="G490" s="52"/>
      <c r="H490" s="12"/>
      <c r="I490" s="12"/>
      <c r="J490" s="52"/>
      <c r="K490" s="54"/>
      <c r="L490" s="309"/>
      <c r="M490" s="309"/>
      <c r="N490" s="309"/>
      <c r="O490" s="54"/>
    </row>
    <row r="491" spans="4:15" x14ac:dyDescent="0.3">
      <c r="D491" s="15"/>
      <c r="E491" s="15"/>
      <c r="F491" s="37"/>
      <c r="G491" s="52"/>
      <c r="H491" s="12"/>
      <c r="I491" s="12"/>
      <c r="J491" s="52"/>
      <c r="K491" s="54"/>
      <c r="L491" s="309"/>
      <c r="M491" s="309"/>
      <c r="N491" s="309"/>
      <c r="O491" s="54"/>
    </row>
    <row r="492" spans="4:15" x14ac:dyDescent="0.3">
      <c r="D492" s="15"/>
      <c r="E492" s="15"/>
      <c r="F492" s="37"/>
      <c r="G492" s="52"/>
      <c r="H492" s="12"/>
      <c r="I492" s="12"/>
      <c r="J492" s="52"/>
      <c r="K492" s="54"/>
      <c r="L492" s="309"/>
      <c r="M492" s="309"/>
      <c r="N492" s="309"/>
      <c r="O492" s="54"/>
    </row>
    <row r="493" spans="4:15" x14ac:dyDescent="0.3">
      <c r="D493" s="15"/>
      <c r="E493" s="15"/>
      <c r="F493" s="37"/>
      <c r="G493" s="52"/>
      <c r="H493" s="12"/>
      <c r="I493" s="12"/>
      <c r="J493" s="52"/>
      <c r="K493" s="54"/>
      <c r="L493" s="309"/>
      <c r="M493" s="309"/>
      <c r="N493" s="309"/>
      <c r="O493" s="54"/>
    </row>
    <row r="494" spans="4:15" x14ac:dyDescent="0.3">
      <c r="D494" s="15"/>
      <c r="E494" s="15"/>
      <c r="F494" s="37"/>
      <c r="G494" s="52"/>
      <c r="H494" s="12"/>
      <c r="I494" s="12"/>
      <c r="J494" s="52"/>
      <c r="K494" s="54"/>
      <c r="L494" s="309"/>
      <c r="M494" s="309"/>
      <c r="N494" s="309"/>
      <c r="O494" s="54"/>
    </row>
    <row r="495" spans="4:15" x14ac:dyDescent="0.3">
      <c r="D495" s="15"/>
      <c r="E495" s="15"/>
      <c r="F495" s="37"/>
      <c r="G495" s="52"/>
      <c r="H495" s="12"/>
      <c r="I495" s="12"/>
      <c r="J495" s="52"/>
      <c r="K495" s="54"/>
      <c r="L495" s="309"/>
      <c r="M495" s="309"/>
      <c r="N495" s="309"/>
      <c r="O495" s="54"/>
    </row>
    <row r="496" spans="4:15" x14ac:dyDescent="0.3">
      <c r="D496" s="15"/>
      <c r="E496" s="15"/>
      <c r="F496" s="37"/>
      <c r="G496" s="52"/>
      <c r="H496" s="12"/>
      <c r="I496" s="12"/>
      <c r="J496" s="52"/>
      <c r="K496" s="54"/>
      <c r="L496" s="309"/>
      <c r="M496" s="309"/>
      <c r="N496" s="309"/>
      <c r="O496" s="54"/>
    </row>
    <row r="497" spans="4:15" x14ac:dyDescent="0.3">
      <c r="D497" s="15"/>
      <c r="E497" s="15"/>
      <c r="F497" s="37"/>
      <c r="G497" s="52"/>
      <c r="H497" s="12"/>
      <c r="I497" s="12"/>
      <c r="J497" s="52"/>
      <c r="K497" s="54"/>
      <c r="L497" s="309"/>
      <c r="M497" s="309"/>
      <c r="N497" s="309"/>
      <c r="O497" s="54"/>
    </row>
    <row r="498" spans="4:15" x14ac:dyDescent="0.3">
      <c r="D498" s="15"/>
      <c r="E498" s="15"/>
      <c r="F498" s="37"/>
      <c r="G498" s="52"/>
      <c r="H498" s="12"/>
      <c r="I498" s="12"/>
      <c r="J498" s="52"/>
      <c r="K498" s="54"/>
      <c r="L498" s="309"/>
      <c r="M498" s="309"/>
      <c r="N498" s="309"/>
      <c r="O498" s="54"/>
    </row>
    <row r="499" spans="4:15" x14ac:dyDescent="0.3">
      <c r="D499" s="15"/>
      <c r="E499" s="15"/>
      <c r="F499" s="37"/>
      <c r="G499" s="52"/>
      <c r="H499" s="12"/>
      <c r="I499" s="12"/>
      <c r="J499" s="52"/>
      <c r="K499" s="54"/>
      <c r="L499" s="309"/>
      <c r="M499" s="309"/>
      <c r="N499" s="309"/>
      <c r="O499" s="54"/>
    </row>
    <row r="500" spans="4:15" x14ac:dyDescent="0.3">
      <c r="D500" s="15"/>
      <c r="E500" s="15"/>
      <c r="F500" s="37"/>
      <c r="G500" s="52"/>
      <c r="H500" s="12"/>
      <c r="I500" s="12"/>
      <c r="J500" s="52"/>
      <c r="K500" s="54"/>
      <c r="L500" s="309"/>
      <c r="M500" s="309"/>
      <c r="N500" s="309"/>
      <c r="O500" s="54"/>
    </row>
    <row r="501" spans="4:15" x14ac:dyDescent="0.3">
      <c r="D501" s="15"/>
      <c r="E501" s="15"/>
      <c r="F501" s="37"/>
      <c r="G501" s="52"/>
      <c r="H501" s="12"/>
      <c r="I501" s="12"/>
      <c r="J501" s="52"/>
      <c r="K501" s="54"/>
      <c r="L501" s="309"/>
      <c r="M501" s="309"/>
      <c r="N501" s="309"/>
      <c r="O501" s="54"/>
    </row>
    <row r="502" spans="4:15" x14ac:dyDescent="0.3">
      <c r="D502" s="15"/>
      <c r="E502" s="15"/>
      <c r="F502" s="37"/>
      <c r="G502" s="52"/>
      <c r="H502" s="12"/>
      <c r="I502" s="12"/>
      <c r="J502" s="52"/>
      <c r="K502" s="54"/>
      <c r="L502" s="309"/>
      <c r="M502" s="309"/>
      <c r="N502" s="309"/>
      <c r="O502" s="54"/>
    </row>
    <row r="503" spans="4:15" x14ac:dyDescent="0.3">
      <c r="D503" s="15"/>
      <c r="E503" s="15"/>
      <c r="F503" s="37"/>
      <c r="G503" s="52"/>
      <c r="H503" s="12"/>
      <c r="I503" s="12"/>
      <c r="J503" s="52"/>
      <c r="K503" s="54"/>
      <c r="L503" s="309"/>
      <c r="M503" s="309"/>
      <c r="N503" s="309"/>
      <c r="O503" s="54"/>
    </row>
    <row r="504" spans="4:15" x14ac:dyDescent="0.3">
      <c r="D504" s="15"/>
      <c r="E504" s="15"/>
      <c r="F504" s="37"/>
      <c r="G504" s="52"/>
      <c r="H504" s="12"/>
      <c r="I504" s="12"/>
      <c r="J504" s="52"/>
      <c r="K504" s="54"/>
      <c r="L504" s="309"/>
      <c r="M504" s="309"/>
      <c r="N504" s="309"/>
      <c r="O504" s="54"/>
    </row>
    <row r="505" spans="4:15" x14ac:dyDescent="0.3">
      <c r="D505" s="15"/>
      <c r="E505" s="15"/>
      <c r="F505" s="37"/>
      <c r="G505" s="52"/>
      <c r="H505" s="12"/>
      <c r="I505" s="12"/>
      <c r="J505" s="52"/>
      <c r="K505" s="54"/>
      <c r="L505" s="309"/>
      <c r="M505" s="309"/>
      <c r="N505" s="309"/>
      <c r="O505" s="54"/>
    </row>
    <row r="506" spans="4:15" x14ac:dyDescent="0.3">
      <c r="D506" s="15"/>
      <c r="E506" s="15"/>
      <c r="F506" s="37"/>
      <c r="G506" s="52"/>
      <c r="H506" s="12"/>
      <c r="I506" s="12"/>
      <c r="J506" s="52"/>
      <c r="K506" s="54"/>
      <c r="L506" s="309"/>
      <c r="M506" s="309"/>
      <c r="N506" s="309"/>
      <c r="O506" s="54"/>
    </row>
    <row r="507" spans="4:15" x14ac:dyDescent="0.3">
      <c r="D507" s="15"/>
      <c r="E507" s="15"/>
      <c r="F507" s="37"/>
      <c r="G507" s="52"/>
      <c r="H507" s="12"/>
      <c r="I507" s="12"/>
      <c r="J507" s="52"/>
      <c r="K507" s="54"/>
      <c r="L507" s="309"/>
      <c r="M507" s="309"/>
      <c r="N507" s="309"/>
      <c r="O507" s="54"/>
    </row>
    <row r="508" spans="4:15" x14ac:dyDescent="0.3">
      <c r="D508" s="15"/>
      <c r="E508" s="15"/>
      <c r="F508" s="37"/>
      <c r="G508" s="52"/>
      <c r="H508" s="12"/>
      <c r="I508" s="12"/>
      <c r="J508" s="52"/>
      <c r="K508" s="54"/>
      <c r="L508" s="309"/>
      <c r="M508" s="309"/>
      <c r="N508" s="309"/>
      <c r="O508" s="54"/>
    </row>
    <row r="509" spans="4:15" x14ac:dyDescent="0.3">
      <c r="D509" s="15"/>
      <c r="E509" s="15"/>
      <c r="F509" s="37"/>
      <c r="G509" s="52"/>
      <c r="H509" s="12"/>
      <c r="I509" s="12"/>
      <c r="J509" s="52"/>
      <c r="K509" s="54"/>
      <c r="L509" s="309"/>
      <c r="M509" s="309"/>
      <c r="N509" s="309"/>
      <c r="O509" s="54"/>
    </row>
    <row r="510" spans="4:15" x14ac:dyDescent="0.3">
      <c r="D510" s="15"/>
      <c r="E510" s="15"/>
      <c r="F510" s="37"/>
      <c r="G510" s="52"/>
      <c r="H510" s="12"/>
      <c r="I510" s="12"/>
      <c r="J510" s="52"/>
      <c r="K510" s="54"/>
      <c r="L510" s="309"/>
      <c r="M510" s="309"/>
      <c r="N510" s="309"/>
      <c r="O510" s="54"/>
    </row>
    <row r="511" spans="4:15" x14ac:dyDescent="0.3">
      <c r="D511" s="15"/>
      <c r="E511" s="15"/>
      <c r="F511" s="37"/>
      <c r="G511" s="52"/>
      <c r="H511" s="12"/>
      <c r="I511" s="12"/>
      <c r="J511" s="52"/>
      <c r="K511" s="54"/>
      <c r="L511" s="309"/>
      <c r="M511" s="309"/>
      <c r="N511" s="309"/>
      <c r="O511" s="54"/>
    </row>
    <row r="512" spans="4:15" x14ac:dyDescent="0.3">
      <c r="D512" s="15"/>
      <c r="E512" s="15"/>
      <c r="F512" s="37"/>
      <c r="G512" s="52"/>
      <c r="H512" s="12"/>
      <c r="I512" s="12"/>
      <c r="J512" s="52"/>
      <c r="K512" s="54"/>
      <c r="L512" s="309"/>
      <c r="M512" s="309"/>
      <c r="N512" s="309"/>
      <c r="O512" s="54"/>
    </row>
    <row r="513" spans="4:15" x14ac:dyDescent="0.3">
      <c r="D513" s="15"/>
      <c r="E513" s="15"/>
      <c r="F513" s="37"/>
      <c r="G513" s="52"/>
      <c r="H513" s="12"/>
      <c r="I513" s="12"/>
      <c r="J513" s="52"/>
      <c r="K513" s="54"/>
      <c r="L513" s="309"/>
      <c r="M513" s="309"/>
      <c r="N513" s="309"/>
      <c r="O513" s="54"/>
    </row>
    <row r="514" spans="4:15" x14ac:dyDescent="0.3">
      <c r="D514" s="15"/>
      <c r="E514" s="15"/>
      <c r="F514" s="37"/>
      <c r="G514" s="52"/>
      <c r="H514" s="12"/>
      <c r="I514" s="12"/>
      <c r="J514" s="52"/>
      <c r="K514" s="54"/>
      <c r="L514" s="309"/>
      <c r="M514" s="309"/>
      <c r="N514" s="309"/>
      <c r="O514" s="54"/>
    </row>
    <row r="515" spans="4:15" x14ac:dyDescent="0.3">
      <c r="D515" s="15"/>
      <c r="E515" s="15"/>
      <c r="F515" s="37"/>
      <c r="G515" s="52"/>
      <c r="H515" s="12"/>
      <c r="I515" s="12"/>
      <c r="J515" s="52"/>
      <c r="K515" s="54"/>
      <c r="L515" s="309"/>
      <c r="M515" s="309"/>
      <c r="N515" s="309"/>
      <c r="O515" s="54"/>
    </row>
    <row r="516" spans="4:15" x14ac:dyDescent="0.3">
      <c r="D516" s="15"/>
      <c r="E516" s="15"/>
      <c r="F516" s="37"/>
      <c r="G516" s="52"/>
      <c r="H516" s="12"/>
      <c r="I516" s="12"/>
      <c r="J516" s="52"/>
      <c r="K516" s="54"/>
      <c r="L516" s="309"/>
      <c r="M516" s="309"/>
      <c r="N516" s="309"/>
      <c r="O516" s="54"/>
    </row>
    <row r="517" spans="4:15" x14ac:dyDescent="0.3">
      <c r="D517" s="15"/>
      <c r="E517" s="15"/>
      <c r="F517" s="37"/>
      <c r="G517" s="52"/>
      <c r="H517" s="12"/>
      <c r="I517" s="12"/>
      <c r="J517" s="52"/>
      <c r="K517" s="54"/>
      <c r="L517" s="309"/>
      <c r="M517" s="309"/>
      <c r="N517" s="309"/>
      <c r="O517" s="54"/>
    </row>
    <row r="518" spans="4:15" x14ac:dyDescent="0.3">
      <c r="D518" s="15"/>
      <c r="E518" s="15"/>
      <c r="F518" s="37"/>
      <c r="G518" s="52"/>
      <c r="H518" s="12"/>
      <c r="I518" s="12"/>
      <c r="J518" s="52"/>
      <c r="K518" s="54"/>
      <c r="L518" s="309"/>
      <c r="M518" s="309"/>
      <c r="N518" s="309"/>
      <c r="O518" s="54"/>
    </row>
    <row r="519" spans="4:15" x14ac:dyDescent="0.3">
      <c r="D519" s="15"/>
      <c r="E519" s="15"/>
      <c r="F519" s="37"/>
      <c r="G519" s="52"/>
      <c r="H519" s="12"/>
      <c r="I519" s="12"/>
      <c r="J519" s="52"/>
      <c r="K519" s="54"/>
      <c r="L519" s="309"/>
      <c r="M519" s="309"/>
      <c r="N519" s="309"/>
      <c r="O519" s="54"/>
    </row>
    <row r="520" spans="4:15" x14ac:dyDescent="0.3">
      <c r="D520" s="15"/>
      <c r="E520" s="15"/>
      <c r="F520" s="37"/>
      <c r="G520" s="52"/>
      <c r="H520" s="12"/>
      <c r="I520" s="12"/>
      <c r="J520" s="52"/>
      <c r="K520" s="54"/>
      <c r="L520" s="309"/>
      <c r="M520" s="309"/>
      <c r="N520" s="309"/>
      <c r="O520" s="54"/>
    </row>
    <row r="521" spans="4:15" x14ac:dyDescent="0.3">
      <c r="D521" s="15"/>
      <c r="E521" s="15"/>
      <c r="F521" s="37"/>
      <c r="G521" s="52"/>
      <c r="H521" s="12"/>
      <c r="I521" s="12"/>
      <c r="J521" s="52"/>
      <c r="K521" s="54"/>
      <c r="L521" s="309"/>
      <c r="M521" s="309"/>
      <c r="N521" s="309"/>
      <c r="O521" s="54"/>
    </row>
    <row r="522" spans="4:15" x14ac:dyDescent="0.3">
      <c r="D522" s="15"/>
      <c r="E522" s="15"/>
      <c r="F522" s="37"/>
      <c r="G522" s="52"/>
      <c r="H522" s="12"/>
      <c r="I522" s="12"/>
      <c r="J522" s="52"/>
      <c r="K522" s="54"/>
      <c r="L522" s="309"/>
      <c r="M522" s="309"/>
      <c r="N522" s="309"/>
      <c r="O522" s="54"/>
    </row>
    <row r="523" spans="4:15" x14ac:dyDescent="0.3">
      <c r="D523" s="15"/>
      <c r="E523" s="15"/>
      <c r="F523" s="37"/>
      <c r="G523" s="52"/>
      <c r="H523" s="12"/>
      <c r="I523" s="12"/>
      <c r="J523" s="52"/>
      <c r="K523" s="54"/>
      <c r="L523" s="309"/>
      <c r="M523" s="309"/>
      <c r="N523" s="309"/>
      <c r="O523" s="54"/>
    </row>
    <row r="524" spans="4:15" x14ac:dyDescent="0.3">
      <c r="D524" s="15"/>
      <c r="E524" s="15"/>
      <c r="F524" s="37"/>
      <c r="G524" s="52"/>
      <c r="H524" s="12"/>
      <c r="I524" s="12"/>
      <c r="J524" s="52"/>
      <c r="K524" s="54"/>
      <c r="L524" s="309"/>
      <c r="M524" s="309"/>
      <c r="N524" s="309"/>
      <c r="O524" s="54"/>
    </row>
    <row r="525" spans="4:15" x14ac:dyDescent="0.3">
      <c r="D525" s="15"/>
      <c r="E525" s="15"/>
      <c r="F525" s="37"/>
      <c r="G525" s="52"/>
      <c r="H525" s="12"/>
      <c r="I525" s="12"/>
      <c r="J525" s="52"/>
      <c r="K525" s="54"/>
      <c r="L525" s="309"/>
      <c r="M525" s="309"/>
      <c r="N525" s="309"/>
      <c r="O525" s="54"/>
    </row>
    <row r="526" spans="4:15" x14ac:dyDescent="0.3">
      <c r="D526" s="15"/>
      <c r="E526" s="15"/>
      <c r="F526" s="37"/>
      <c r="G526" s="52"/>
      <c r="H526" s="12"/>
      <c r="I526" s="12"/>
      <c r="J526" s="52"/>
      <c r="K526" s="54"/>
      <c r="L526" s="309"/>
      <c r="M526" s="309"/>
      <c r="N526" s="309"/>
      <c r="O526" s="54"/>
    </row>
    <row r="527" spans="4:15" x14ac:dyDescent="0.3">
      <c r="D527" s="15"/>
      <c r="E527" s="15"/>
      <c r="F527" s="37"/>
      <c r="G527" s="52"/>
      <c r="H527" s="12"/>
      <c r="I527" s="12"/>
      <c r="J527" s="52"/>
      <c r="K527" s="54"/>
      <c r="L527" s="309"/>
      <c r="M527" s="309"/>
      <c r="N527" s="309"/>
      <c r="O527" s="54"/>
    </row>
    <row r="528" spans="4:15" x14ac:dyDescent="0.3">
      <c r="D528" s="15"/>
      <c r="E528" s="15"/>
      <c r="F528" s="37"/>
      <c r="G528" s="52"/>
      <c r="H528" s="12"/>
      <c r="I528" s="12"/>
      <c r="J528" s="52"/>
      <c r="K528" s="54"/>
      <c r="L528" s="309"/>
      <c r="M528" s="309"/>
      <c r="N528" s="309"/>
      <c r="O528" s="54"/>
    </row>
    <row r="529" spans="4:15" x14ac:dyDescent="0.3">
      <c r="D529" s="15"/>
      <c r="E529" s="15"/>
      <c r="F529" s="37"/>
      <c r="G529" s="52"/>
      <c r="H529" s="12"/>
      <c r="I529" s="12"/>
      <c r="J529" s="52"/>
      <c r="K529" s="54"/>
      <c r="L529" s="309"/>
      <c r="M529" s="309"/>
      <c r="N529" s="309"/>
      <c r="O529" s="54"/>
    </row>
    <row r="530" spans="4:15" x14ac:dyDescent="0.3">
      <c r="D530" s="15"/>
      <c r="E530" s="15"/>
      <c r="F530" s="37"/>
      <c r="G530" s="52"/>
      <c r="H530" s="12"/>
      <c r="I530" s="12"/>
      <c r="J530" s="52"/>
      <c r="K530" s="54"/>
      <c r="L530" s="309"/>
      <c r="M530" s="309"/>
      <c r="N530" s="309"/>
      <c r="O530" s="54"/>
    </row>
    <row r="531" spans="4:15" x14ac:dyDescent="0.3">
      <c r="D531" s="15"/>
      <c r="E531" s="15"/>
      <c r="F531" s="37"/>
      <c r="G531" s="52"/>
      <c r="H531" s="12"/>
      <c r="I531" s="12"/>
      <c r="J531" s="52"/>
      <c r="K531" s="54"/>
      <c r="L531" s="309"/>
      <c r="M531" s="309"/>
      <c r="N531" s="309"/>
      <c r="O531" s="54"/>
    </row>
    <row r="532" spans="4:15" x14ac:dyDescent="0.3">
      <c r="D532" s="15"/>
      <c r="E532" s="15"/>
      <c r="F532" s="37"/>
      <c r="G532" s="52"/>
      <c r="H532" s="12"/>
      <c r="I532" s="12"/>
      <c r="J532" s="52"/>
      <c r="K532" s="54"/>
      <c r="L532" s="309"/>
      <c r="M532" s="309"/>
      <c r="N532" s="309"/>
      <c r="O532" s="54"/>
    </row>
    <row r="533" spans="4:15" x14ac:dyDescent="0.3">
      <c r="D533" s="15"/>
      <c r="E533" s="15"/>
      <c r="F533" s="37"/>
      <c r="G533" s="52"/>
      <c r="H533" s="12"/>
      <c r="I533" s="12"/>
      <c r="J533" s="52"/>
      <c r="K533" s="54"/>
      <c r="L533" s="309"/>
      <c r="M533" s="309"/>
      <c r="N533" s="309"/>
      <c r="O533" s="54"/>
    </row>
    <row r="534" spans="4:15" x14ac:dyDescent="0.3">
      <c r="D534" s="15"/>
      <c r="E534" s="15"/>
      <c r="F534" s="37"/>
      <c r="G534" s="52"/>
      <c r="H534" s="12"/>
      <c r="I534" s="12"/>
      <c r="J534" s="52"/>
      <c r="K534" s="54"/>
      <c r="L534" s="309"/>
      <c r="M534" s="309"/>
      <c r="N534" s="309"/>
      <c r="O534" s="54"/>
    </row>
    <row r="535" spans="4:15" x14ac:dyDescent="0.3">
      <c r="D535" s="15"/>
      <c r="E535" s="15"/>
      <c r="F535" s="37"/>
      <c r="G535" s="52"/>
      <c r="H535" s="12"/>
      <c r="I535" s="12"/>
      <c r="J535" s="52"/>
      <c r="K535" s="54"/>
      <c r="L535" s="309"/>
      <c r="M535" s="309"/>
      <c r="N535" s="309"/>
      <c r="O535" s="54"/>
    </row>
    <row r="536" spans="4:15" x14ac:dyDescent="0.3">
      <c r="D536" s="15"/>
      <c r="E536" s="15"/>
      <c r="F536" s="37"/>
      <c r="G536" s="52"/>
      <c r="H536" s="12"/>
      <c r="I536" s="12"/>
      <c r="J536" s="52"/>
      <c r="K536" s="54"/>
      <c r="L536" s="309"/>
      <c r="M536" s="309"/>
      <c r="N536" s="309"/>
      <c r="O536" s="54"/>
    </row>
    <row r="537" spans="4:15" x14ac:dyDescent="0.3">
      <c r="D537" s="15"/>
      <c r="E537" s="15"/>
      <c r="F537" s="37"/>
      <c r="G537" s="52"/>
      <c r="H537" s="12"/>
      <c r="I537" s="12"/>
      <c r="J537" s="52"/>
      <c r="K537" s="54"/>
      <c r="L537" s="309"/>
      <c r="M537" s="309"/>
      <c r="N537" s="309"/>
      <c r="O537" s="54"/>
    </row>
    <row r="538" spans="4:15" x14ac:dyDescent="0.3">
      <c r="D538" s="15"/>
      <c r="E538" s="15"/>
      <c r="F538" s="37"/>
      <c r="G538" s="52"/>
      <c r="H538" s="12"/>
      <c r="I538" s="12"/>
      <c r="J538" s="52"/>
      <c r="K538" s="54"/>
      <c r="L538" s="309"/>
      <c r="M538" s="309"/>
      <c r="N538" s="309"/>
      <c r="O538" s="54"/>
    </row>
    <row r="539" spans="4:15" x14ac:dyDescent="0.3">
      <c r="D539" s="15"/>
      <c r="E539" s="15"/>
      <c r="F539" s="37"/>
      <c r="G539" s="52"/>
      <c r="H539" s="12"/>
      <c r="I539" s="12"/>
      <c r="J539" s="52"/>
      <c r="K539" s="54"/>
      <c r="L539" s="309"/>
      <c r="M539" s="309"/>
      <c r="N539" s="309"/>
      <c r="O539" s="54"/>
    </row>
    <row r="540" spans="4:15" x14ac:dyDescent="0.3">
      <c r="D540" s="15"/>
      <c r="E540" s="15"/>
      <c r="F540" s="37"/>
      <c r="G540" s="52"/>
      <c r="H540" s="12"/>
      <c r="I540" s="12"/>
      <c r="J540" s="52"/>
      <c r="K540" s="54"/>
      <c r="L540" s="309"/>
      <c r="M540" s="309"/>
      <c r="N540" s="309"/>
      <c r="O540" s="54"/>
    </row>
    <row r="541" spans="4:15" x14ac:dyDescent="0.3">
      <c r="D541" s="15"/>
      <c r="E541" s="15"/>
      <c r="F541" s="37"/>
      <c r="G541" s="52"/>
      <c r="H541" s="12"/>
      <c r="I541" s="12"/>
      <c r="J541" s="52"/>
      <c r="K541" s="54"/>
      <c r="L541" s="309"/>
      <c r="M541" s="309"/>
      <c r="N541" s="309"/>
      <c r="O541" s="54"/>
    </row>
    <row r="542" spans="4:15" x14ac:dyDescent="0.3">
      <c r="D542" s="15"/>
      <c r="E542" s="15"/>
      <c r="F542" s="37"/>
      <c r="G542" s="52"/>
      <c r="H542" s="12"/>
      <c r="I542" s="12"/>
      <c r="J542" s="52"/>
      <c r="K542" s="54"/>
      <c r="L542" s="309"/>
      <c r="M542" s="309"/>
      <c r="N542" s="309"/>
      <c r="O542" s="54"/>
    </row>
    <row r="543" spans="4:15" x14ac:dyDescent="0.3">
      <c r="D543" s="15"/>
      <c r="E543" s="15"/>
      <c r="F543" s="37"/>
      <c r="G543" s="52"/>
      <c r="H543" s="12"/>
      <c r="I543" s="12"/>
      <c r="J543" s="52"/>
      <c r="K543" s="54"/>
      <c r="L543" s="309"/>
      <c r="M543" s="309"/>
      <c r="N543" s="309"/>
      <c r="O543" s="54"/>
    </row>
    <row r="544" spans="4:15" x14ac:dyDescent="0.3">
      <c r="D544" s="15"/>
      <c r="E544" s="15"/>
      <c r="F544" s="37"/>
      <c r="G544" s="52"/>
      <c r="H544" s="12"/>
      <c r="I544" s="12"/>
      <c r="J544" s="52"/>
      <c r="K544" s="54"/>
      <c r="L544" s="309"/>
      <c r="M544" s="309"/>
      <c r="N544" s="309"/>
      <c r="O544" s="54"/>
    </row>
    <row r="545" spans="4:15" x14ac:dyDescent="0.3">
      <c r="D545" s="15"/>
      <c r="E545" s="15"/>
      <c r="F545" s="37"/>
      <c r="G545" s="52"/>
      <c r="H545" s="12"/>
      <c r="I545" s="12"/>
      <c r="J545" s="52"/>
      <c r="K545" s="54"/>
      <c r="L545" s="309"/>
      <c r="M545" s="309"/>
      <c r="N545" s="309"/>
      <c r="O545" s="54"/>
    </row>
    <row r="546" spans="4:15" x14ac:dyDescent="0.3">
      <c r="D546" s="15"/>
      <c r="E546" s="15"/>
      <c r="F546" s="37"/>
      <c r="G546" s="52"/>
      <c r="H546" s="12"/>
      <c r="I546" s="12"/>
      <c r="J546" s="52"/>
      <c r="K546" s="54"/>
      <c r="L546" s="309"/>
      <c r="M546" s="309"/>
      <c r="N546" s="309"/>
      <c r="O546" s="54"/>
    </row>
    <row r="547" spans="4:15" x14ac:dyDescent="0.3">
      <c r="D547" s="15"/>
      <c r="E547" s="15"/>
      <c r="F547" s="37"/>
      <c r="G547" s="52"/>
      <c r="H547" s="12"/>
      <c r="I547" s="12"/>
      <c r="J547" s="52"/>
      <c r="K547" s="54"/>
      <c r="L547" s="309"/>
      <c r="M547" s="309"/>
      <c r="N547" s="309"/>
      <c r="O547" s="54"/>
    </row>
    <row r="548" spans="4:15" x14ac:dyDescent="0.3">
      <c r="D548" s="15"/>
      <c r="E548" s="15"/>
      <c r="F548" s="37"/>
      <c r="G548" s="52"/>
      <c r="H548" s="12"/>
      <c r="I548" s="12"/>
      <c r="J548" s="52"/>
      <c r="K548" s="54"/>
      <c r="L548" s="309"/>
      <c r="M548" s="309"/>
      <c r="N548" s="309"/>
      <c r="O548" s="54"/>
    </row>
    <row r="549" spans="4:15" x14ac:dyDescent="0.3">
      <c r="D549" s="15"/>
      <c r="E549" s="15"/>
      <c r="F549" s="37"/>
      <c r="G549" s="52"/>
      <c r="H549" s="12"/>
      <c r="I549" s="12"/>
      <c r="J549" s="52"/>
      <c r="K549" s="54"/>
      <c r="L549" s="309"/>
      <c r="M549" s="309"/>
      <c r="N549" s="309"/>
      <c r="O549" s="54"/>
    </row>
    <row r="550" spans="4:15" x14ac:dyDescent="0.3">
      <c r="D550" s="15"/>
      <c r="E550" s="15"/>
      <c r="F550" s="37"/>
      <c r="G550" s="52"/>
      <c r="H550" s="12"/>
      <c r="I550" s="12"/>
      <c r="J550" s="52"/>
      <c r="K550" s="54"/>
      <c r="L550" s="309"/>
      <c r="M550" s="309"/>
      <c r="N550" s="309"/>
      <c r="O550" s="54"/>
    </row>
    <row r="551" spans="4:15" x14ac:dyDescent="0.3">
      <c r="D551" s="15"/>
      <c r="E551" s="15"/>
      <c r="F551" s="37"/>
      <c r="G551" s="52"/>
      <c r="H551" s="12"/>
      <c r="I551" s="12"/>
      <c r="J551" s="52"/>
      <c r="K551" s="54"/>
      <c r="L551" s="309"/>
      <c r="M551" s="309"/>
      <c r="N551" s="309"/>
      <c r="O551" s="54"/>
    </row>
    <row r="552" spans="4:15" x14ac:dyDescent="0.3">
      <c r="D552" s="15"/>
      <c r="E552" s="15"/>
      <c r="F552" s="37"/>
      <c r="G552" s="52"/>
      <c r="H552" s="12"/>
      <c r="I552" s="12"/>
      <c r="J552" s="52"/>
      <c r="K552" s="54"/>
      <c r="L552" s="309"/>
      <c r="M552" s="309"/>
      <c r="N552" s="309"/>
      <c r="O552" s="54"/>
    </row>
    <row r="553" spans="4:15" x14ac:dyDescent="0.3">
      <c r="D553" s="15"/>
      <c r="E553" s="15"/>
      <c r="F553" s="37"/>
      <c r="G553" s="52"/>
      <c r="H553" s="12"/>
      <c r="I553" s="12"/>
      <c r="J553" s="52"/>
      <c r="K553" s="54"/>
      <c r="L553" s="309"/>
      <c r="M553" s="309"/>
      <c r="N553" s="309"/>
      <c r="O553" s="54"/>
    </row>
    <row r="554" spans="4:15" x14ac:dyDescent="0.3">
      <c r="D554" s="15"/>
      <c r="E554" s="15"/>
      <c r="F554" s="37"/>
      <c r="G554" s="52"/>
      <c r="H554" s="12"/>
      <c r="I554" s="12"/>
      <c r="J554" s="52"/>
      <c r="K554" s="54"/>
      <c r="L554" s="309"/>
      <c r="M554" s="309"/>
      <c r="N554" s="309"/>
      <c r="O554" s="54"/>
    </row>
    <row r="555" spans="4:15" x14ac:dyDescent="0.3">
      <c r="D555" s="15"/>
      <c r="E555" s="15"/>
      <c r="F555" s="37"/>
      <c r="G555" s="52"/>
      <c r="H555" s="12"/>
      <c r="I555" s="12"/>
      <c r="J555" s="52"/>
      <c r="K555" s="54"/>
      <c r="L555" s="309"/>
      <c r="M555" s="309"/>
      <c r="N555" s="309"/>
      <c r="O555" s="54"/>
    </row>
    <row r="556" spans="4:15" x14ac:dyDescent="0.3">
      <c r="D556" s="15"/>
      <c r="E556" s="15"/>
      <c r="F556" s="37"/>
      <c r="G556" s="52"/>
      <c r="H556" s="12"/>
      <c r="I556" s="12"/>
      <c r="J556" s="52"/>
      <c r="K556" s="54"/>
      <c r="L556" s="309"/>
      <c r="M556" s="309"/>
      <c r="N556" s="309"/>
      <c r="O556" s="54"/>
    </row>
    <row r="557" spans="4:15" x14ac:dyDescent="0.3">
      <c r="D557" s="15"/>
      <c r="E557" s="15"/>
      <c r="F557" s="37"/>
      <c r="G557" s="52"/>
      <c r="H557" s="12"/>
      <c r="I557" s="12"/>
      <c r="J557" s="52"/>
      <c r="K557" s="54"/>
      <c r="L557" s="309"/>
      <c r="M557" s="309"/>
      <c r="N557" s="309"/>
      <c r="O557" s="54"/>
    </row>
    <row r="558" spans="4:15" x14ac:dyDescent="0.3">
      <c r="D558" s="15"/>
      <c r="E558" s="15"/>
      <c r="F558" s="37"/>
      <c r="G558" s="52"/>
      <c r="H558" s="12"/>
      <c r="I558" s="12"/>
      <c r="J558" s="52"/>
      <c r="K558" s="54"/>
      <c r="L558" s="309"/>
      <c r="M558" s="309"/>
      <c r="N558" s="309"/>
      <c r="O558" s="54"/>
    </row>
    <row r="559" spans="4:15" x14ac:dyDescent="0.3">
      <c r="D559" s="15"/>
      <c r="E559" s="15"/>
      <c r="F559" s="37"/>
      <c r="G559" s="52"/>
      <c r="H559" s="12"/>
      <c r="I559" s="12"/>
      <c r="J559" s="52"/>
      <c r="K559" s="54"/>
      <c r="L559" s="309"/>
      <c r="M559" s="309"/>
      <c r="N559" s="309"/>
      <c r="O559" s="54"/>
    </row>
    <row r="560" spans="4:15" x14ac:dyDescent="0.3">
      <c r="D560" s="15"/>
      <c r="E560" s="15"/>
      <c r="F560" s="37"/>
      <c r="G560" s="52"/>
      <c r="H560" s="12"/>
      <c r="I560" s="12"/>
      <c r="J560" s="52"/>
      <c r="K560" s="54"/>
      <c r="L560" s="309"/>
      <c r="M560" s="309"/>
      <c r="N560" s="309"/>
      <c r="O560" s="54"/>
    </row>
    <row r="561" spans="4:15" x14ac:dyDescent="0.3">
      <c r="D561" s="15"/>
      <c r="E561" s="15"/>
      <c r="F561" s="37"/>
      <c r="G561" s="52"/>
      <c r="H561" s="12"/>
      <c r="I561" s="12"/>
      <c r="J561" s="52"/>
      <c r="K561" s="54"/>
      <c r="L561" s="309"/>
      <c r="M561" s="309"/>
      <c r="N561" s="309"/>
      <c r="O561" s="54"/>
    </row>
    <row r="562" spans="4:15" x14ac:dyDescent="0.3">
      <c r="D562" s="15"/>
      <c r="E562" s="15"/>
      <c r="F562" s="37"/>
      <c r="G562" s="52"/>
      <c r="H562" s="12"/>
      <c r="I562" s="12"/>
      <c r="J562" s="52"/>
      <c r="K562" s="54"/>
      <c r="L562" s="309"/>
      <c r="M562" s="309"/>
      <c r="N562" s="309"/>
      <c r="O562" s="54"/>
    </row>
    <row r="563" spans="4:15" x14ac:dyDescent="0.3">
      <c r="D563" s="15"/>
      <c r="E563" s="15"/>
      <c r="F563" s="37"/>
      <c r="G563" s="52"/>
      <c r="H563" s="12"/>
      <c r="I563" s="12"/>
      <c r="J563" s="52"/>
      <c r="K563" s="54"/>
      <c r="L563" s="309"/>
      <c r="M563" s="309"/>
      <c r="N563" s="309"/>
      <c r="O563" s="54"/>
    </row>
    <row r="564" spans="4:15" x14ac:dyDescent="0.3">
      <c r="D564" s="15"/>
      <c r="E564" s="15"/>
      <c r="F564" s="37"/>
      <c r="G564" s="52"/>
      <c r="H564" s="12"/>
      <c r="I564" s="12"/>
      <c r="J564" s="52"/>
      <c r="K564" s="54"/>
      <c r="L564" s="309"/>
      <c r="M564" s="309"/>
      <c r="N564" s="309"/>
      <c r="O564" s="54"/>
    </row>
    <row r="565" spans="4:15" x14ac:dyDescent="0.3">
      <c r="D565" s="15"/>
      <c r="E565" s="15"/>
      <c r="F565" s="37"/>
      <c r="G565" s="52"/>
      <c r="H565" s="12"/>
      <c r="I565" s="12"/>
      <c r="J565" s="52"/>
      <c r="K565" s="54"/>
      <c r="L565" s="309"/>
      <c r="M565" s="309"/>
      <c r="N565" s="309"/>
      <c r="O565" s="54"/>
    </row>
    <row r="566" spans="4:15" x14ac:dyDescent="0.3">
      <c r="D566" s="15"/>
      <c r="E566" s="15"/>
      <c r="F566" s="37"/>
      <c r="G566" s="52"/>
      <c r="H566" s="12"/>
      <c r="I566" s="12"/>
      <c r="J566" s="52"/>
      <c r="K566" s="54"/>
      <c r="L566" s="309"/>
      <c r="M566" s="309"/>
      <c r="N566" s="309"/>
      <c r="O566" s="54"/>
    </row>
    <row r="567" spans="4:15" x14ac:dyDescent="0.3">
      <c r="D567" s="15"/>
      <c r="E567" s="15"/>
      <c r="F567" s="37"/>
      <c r="G567" s="52"/>
      <c r="H567" s="12"/>
      <c r="I567" s="12"/>
      <c r="J567" s="52"/>
      <c r="K567" s="54"/>
      <c r="L567" s="309"/>
      <c r="M567" s="309"/>
      <c r="N567" s="309"/>
      <c r="O567" s="54"/>
    </row>
    <row r="568" spans="4:15" x14ac:dyDescent="0.3">
      <c r="D568" s="15"/>
      <c r="E568" s="15"/>
      <c r="F568" s="37"/>
      <c r="G568" s="52"/>
      <c r="H568" s="12"/>
      <c r="I568" s="12"/>
      <c r="J568" s="52"/>
      <c r="K568" s="54"/>
      <c r="L568" s="309"/>
      <c r="M568" s="309"/>
      <c r="N568" s="309"/>
      <c r="O568" s="54"/>
    </row>
    <row r="569" spans="4:15" x14ac:dyDescent="0.3">
      <c r="D569" s="15"/>
      <c r="E569" s="15"/>
      <c r="F569" s="37"/>
      <c r="G569" s="52"/>
      <c r="H569" s="12"/>
      <c r="I569" s="12"/>
      <c r="J569" s="52"/>
      <c r="K569" s="54"/>
      <c r="L569" s="309"/>
      <c r="M569" s="309"/>
      <c r="N569" s="309"/>
      <c r="O569" s="54"/>
    </row>
    <row r="570" spans="4:15" x14ac:dyDescent="0.3">
      <c r="D570" s="15"/>
      <c r="E570" s="15"/>
      <c r="F570" s="37"/>
      <c r="G570" s="52"/>
      <c r="H570" s="12"/>
      <c r="I570" s="12"/>
      <c r="J570" s="52"/>
      <c r="K570" s="54"/>
      <c r="L570" s="309"/>
      <c r="M570" s="309"/>
      <c r="N570" s="309"/>
      <c r="O570" s="54"/>
    </row>
    <row r="571" spans="4:15" x14ac:dyDescent="0.3">
      <c r="D571" s="15"/>
      <c r="E571" s="15"/>
      <c r="F571" s="37"/>
      <c r="G571" s="52"/>
      <c r="H571" s="12"/>
      <c r="I571" s="12"/>
      <c r="J571" s="52"/>
      <c r="K571" s="54"/>
      <c r="L571" s="309"/>
      <c r="M571" s="309"/>
      <c r="N571" s="309"/>
      <c r="O571" s="54"/>
    </row>
    <row r="572" spans="4:15" x14ac:dyDescent="0.3">
      <c r="D572" s="15"/>
      <c r="E572" s="15"/>
      <c r="F572" s="37"/>
      <c r="G572" s="52"/>
      <c r="H572" s="12"/>
      <c r="I572" s="12"/>
      <c r="J572" s="52"/>
      <c r="K572" s="54"/>
      <c r="L572" s="309"/>
      <c r="M572" s="309"/>
      <c r="N572" s="309"/>
      <c r="O572" s="54"/>
    </row>
    <row r="573" spans="4:15" x14ac:dyDescent="0.3">
      <c r="D573" s="15"/>
      <c r="E573" s="15"/>
      <c r="F573" s="37"/>
      <c r="G573" s="52"/>
      <c r="H573" s="12"/>
      <c r="I573" s="12"/>
      <c r="J573" s="52"/>
      <c r="K573" s="54"/>
      <c r="L573" s="309"/>
      <c r="M573" s="309"/>
      <c r="N573" s="309"/>
      <c r="O573" s="54"/>
    </row>
    <row r="574" spans="4:15" x14ac:dyDescent="0.3">
      <c r="D574" s="15"/>
      <c r="E574" s="15"/>
      <c r="F574" s="37"/>
      <c r="G574" s="52"/>
      <c r="H574" s="12"/>
      <c r="I574" s="12"/>
      <c r="J574" s="52"/>
      <c r="K574" s="54"/>
      <c r="L574" s="309"/>
      <c r="M574" s="309"/>
      <c r="N574" s="309"/>
      <c r="O574" s="54"/>
    </row>
    <row r="575" spans="4:15" x14ac:dyDescent="0.3">
      <c r="D575" s="15"/>
      <c r="E575" s="15"/>
      <c r="F575" s="37"/>
      <c r="G575" s="52"/>
      <c r="H575" s="12"/>
      <c r="I575" s="12"/>
      <c r="J575" s="52"/>
      <c r="K575" s="54"/>
      <c r="L575" s="309"/>
      <c r="M575" s="309"/>
      <c r="N575" s="309"/>
      <c r="O575" s="54"/>
    </row>
    <row r="576" spans="4:15" x14ac:dyDescent="0.3">
      <c r="D576" s="15"/>
      <c r="E576" s="15"/>
      <c r="F576" s="37"/>
      <c r="G576" s="52"/>
      <c r="H576" s="12"/>
      <c r="I576" s="12"/>
      <c r="J576" s="52"/>
      <c r="K576" s="54"/>
      <c r="L576" s="309"/>
      <c r="M576" s="309"/>
      <c r="N576" s="309"/>
      <c r="O576" s="54"/>
    </row>
    <row r="577" spans="4:15" x14ac:dyDescent="0.3">
      <c r="D577" s="15"/>
      <c r="E577" s="15"/>
      <c r="F577" s="37"/>
      <c r="G577" s="52"/>
      <c r="H577" s="12"/>
      <c r="I577" s="12"/>
      <c r="J577" s="52"/>
      <c r="K577" s="54"/>
      <c r="L577" s="309"/>
      <c r="M577" s="309"/>
      <c r="N577" s="309"/>
      <c r="O577" s="54"/>
    </row>
    <row r="578" spans="4:15" x14ac:dyDescent="0.3">
      <c r="D578" s="15"/>
      <c r="E578" s="15"/>
      <c r="F578" s="37"/>
      <c r="G578" s="52"/>
      <c r="H578" s="12"/>
      <c r="I578" s="12"/>
      <c r="J578" s="52"/>
      <c r="K578" s="54"/>
      <c r="L578" s="309"/>
      <c r="M578" s="309"/>
      <c r="N578" s="309"/>
      <c r="O578" s="54"/>
    </row>
    <row r="579" spans="4:15" x14ac:dyDescent="0.3">
      <c r="D579" s="15"/>
      <c r="E579" s="15"/>
      <c r="F579" s="37"/>
      <c r="G579" s="52"/>
      <c r="H579" s="12"/>
      <c r="I579" s="12"/>
      <c r="J579" s="52"/>
      <c r="K579" s="54"/>
      <c r="L579" s="309"/>
      <c r="M579" s="309"/>
      <c r="N579" s="309"/>
      <c r="O579" s="54"/>
    </row>
    <row r="580" spans="4:15" x14ac:dyDescent="0.3">
      <c r="D580" s="15"/>
      <c r="E580" s="15"/>
      <c r="F580" s="37"/>
      <c r="G580" s="52"/>
      <c r="H580" s="12"/>
      <c r="I580" s="12"/>
      <c r="J580" s="52"/>
      <c r="K580" s="54"/>
      <c r="L580" s="309"/>
      <c r="M580" s="309"/>
      <c r="N580" s="309"/>
      <c r="O580" s="54"/>
    </row>
    <row r="581" spans="4:15" x14ac:dyDescent="0.3">
      <c r="D581" s="15"/>
      <c r="E581" s="15"/>
      <c r="F581" s="37"/>
      <c r="G581" s="52"/>
      <c r="H581" s="12"/>
      <c r="I581" s="12"/>
      <c r="J581" s="52"/>
      <c r="K581" s="54"/>
      <c r="L581" s="309"/>
      <c r="M581" s="309"/>
      <c r="N581" s="309"/>
      <c r="O581" s="54"/>
    </row>
    <row r="582" spans="4:15" x14ac:dyDescent="0.3">
      <c r="D582" s="15"/>
      <c r="E582" s="15"/>
      <c r="F582" s="37"/>
      <c r="G582" s="52"/>
      <c r="H582" s="12"/>
      <c r="I582" s="12"/>
      <c r="J582" s="52"/>
      <c r="K582" s="54"/>
      <c r="L582" s="309"/>
      <c r="M582" s="309"/>
      <c r="N582" s="309"/>
      <c r="O582" s="54"/>
    </row>
    <row r="583" spans="4:15" x14ac:dyDescent="0.3">
      <c r="D583" s="15"/>
      <c r="E583" s="15"/>
      <c r="F583" s="37"/>
      <c r="G583" s="52"/>
      <c r="H583" s="12"/>
      <c r="I583" s="12"/>
      <c r="J583" s="52"/>
      <c r="K583" s="54"/>
      <c r="L583" s="309"/>
      <c r="M583" s="309"/>
      <c r="N583" s="309"/>
      <c r="O583" s="54"/>
    </row>
    <row r="584" spans="4:15" x14ac:dyDescent="0.3">
      <c r="D584" s="15"/>
      <c r="E584" s="15"/>
      <c r="F584" s="37"/>
      <c r="G584" s="52"/>
      <c r="H584" s="12"/>
      <c r="I584" s="12"/>
      <c r="J584" s="52"/>
      <c r="K584" s="54"/>
      <c r="L584" s="309"/>
      <c r="M584" s="309"/>
      <c r="N584" s="309"/>
      <c r="O584" s="54"/>
    </row>
    <row r="585" spans="4:15" x14ac:dyDescent="0.3">
      <c r="D585" s="15"/>
      <c r="E585" s="15"/>
      <c r="F585" s="37"/>
      <c r="G585" s="52"/>
      <c r="H585" s="12"/>
      <c r="I585" s="12"/>
      <c r="J585" s="52"/>
      <c r="K585" s="54"/>
      <c r="L585" s="309"/>
      <c r="M585" s="309"/>
      <c r="N585" s="309"/>
      <c r="O585" s="54"/>
    </row>
    <row r="586" spans="4:15" x14ac:dyDescent="0.3">
      <c r="D586" s="15"/>
      <c r="E586" s="15"/>
      <c r="F586" s="37"/>
      <c r="G586" s="52"/>
      <c r="H586" s="12"/>
      <c r="I586" s="12"/>
      <c r="J586" s="52"/>
      <c r="K586" s="54"/>
      <c r="L586" s="309"/>
      <c r="M586" s="309"/>
      <c r="N586" s="309"/>
      <c r="O586" s="54"/>
    </row>
    <row r="587" spans="4:15" x14ac:dyDescent="0.3">
      <c r="D587" s="15"/>
      <c r="E587" s="15"/>
      <c r="F587" s="37"/>
      <c r="G587" s="52"/>
      <c r="H587" s="12"/>
      <c r="I587" s="12"/>
      <c r="J587" s="52"/>
      <c r="K587" s="54"/>
      <c r="L587" s="309"/>
      <c r="M587" s="309"/>
      <c r="N587" s="309"/>
      <c r="O587" s="54"/>
    </row>
    <row r="588" spans="4:15" x14ac:dyDescent="0.3">
      <c r="D588" s="15"/>
      <c r="E588" s="15"/>
      <c r="F588" s="37"/>
      <c r="G588" s="52"/>
      <c r="H588" s="12"/>
      <c r="I588" s="12"/>
      <c r="J588" s="52"/>
      <c r="K588" s="54"/>
      <c r="L588" s="309"/>
      <c r="M588" s="309"/>
      <c r="N588" s="309"/>
      <c r="O588" s="54"/>
    </row>
    <row r="589" spans="4:15" x14ac:dyDescent="0.3">
      <c r="D589" s="15"/>
      <c r="E589" s="15"/>
      <c r="F589" s="37"/>
      <c r="G589" s="52"/>
      <c r="H589" s="12"/>
      <c r="I589" s="12"/>
      <c r="J589" s="52"/>
      <c r="K589" s="54"/>
      <c r="L589" s="309"/>
      <c r="M589" s="309"/>
      <c r="N589" s="309"/>
      <c r="O589" s="54"/>
    </row>
    <row r="590" spans="4:15" x14ac:dyDescent="0.3">
      <c r="D590" s="15"/>
      <c r="E590" s="15"/>
      <c r="F590" s="37"/>
      <c r="G590" s="52"/>
      <c r="H590" s="12"/>
      <c r="I590" s="12"/>
      <c r="J590" s="52"/>
      <c r="K590" s="54"/>
      <c r="L590" s="309"/>
      <c r="M590" s="309"/>
      <c r="N590" s="309"/>
      <c r="O590" s="54"/>
    </row>
    <row r="591" spans="4:15" x14ac:dyDescent="0.3">
      <c r="D591" s="15"/>
      <c r="E591" s="15"/>
      <c r="F591" s="37"/>
      <c r="G591" s="52"/>
      <c r="H591" s="12"/>
      <c r="I591" s="12"/>
      <c r="J591" s="52"/>
      <c r="K591" s="54"/>
      <c r="L591" s="309"/>
      <c r="M591" s="309"/>
      <c r="N591" s="309"/>
      <c r="O591" s="54"/>
    </row>
    <row r="592" spans="4:15" x14ac:dyDescent="0.3">
      <c r="D592" s="15"/>
      <c r="E592" s="15"/>
      <c r="F592" s="37"/>
      <c r="G592" s="52"/>
      <c r="H592" s="12"/>
      <c r="I592" s="12"/>
      <c r="J592" s="52"/>
      <c r="K592" s="54"/>
      <c r="L592" s="309"/>
      <c r="M592" s="309"/>
      <c r="N592" s="309"/>
      <c r="O592" s="54"/>
    </row>
    <row r="593" spans="4:15" x14ac:dyDescent="0.3">
      <c r="D593" s="15"/>
      <c r="E593" s="15"/>
      <c r="F593" s="37"/>
      <c r="G593" s="52"/>
      <c r="H593" s="12"/>
      <c r="I593" s="12"/>
      <c r="J593" s="52"/>
      <c r="K593" s="54"/>
      <c r="L593" s="309"/>
      <c r="M593" s="309"/>
      <c r="N593" s="309"/>
      <c r="O593" s="54"/>
    </row>
    <row r="594" spans="4:15" x14ac:dyDescent="0.3">
      <c r="D594" s="15"/>
      <c r="E594" s="15"/>
      <c r="F594" s="37"/>
      <c r="G594" s="52"/>
      <c r="H594" s="12"/>
      <c r="I594" s="12"/>
      <c r="J594" s="52"/>
      <c r="K594" s="54"/>
      <c r="L594" s="309"/>
      <c r="M594" s="309"/>
      <c r="N594" s="309"/>
      <c r="O594" s="54"/>
    </row>
    <row r="595" spans="4:15" x14ac:dyDescent="0.3">
      <c r="D595" s="15"/>
      <c r="E595" s="15"/>
      <c r="F595" s="37"/>
      <c r="G595" s="52"/>
      <c r="H595" s="12"/>
      <c r="I595" s="12"/>
      <c r="J595" s="52"/>
      <c r="K595" s="54"/>
      <c r="L595" s="309"/>
      <c r="M595" s="309"/>
      <c r="N595" s="309"/>
      <c r="O595" s="54"/>
    </row>
    <row r="596" spans="4:15" x14ac:dyDescent="0.3">
      <c r="D596" s="15"/>
      <c r="E596" s="15"/>
      <c r="F596" s="37"/>
      <c r="G596" s="52"/>
      <c r="H596" s="12"/>
      <c r="I596" s="12"/>
      <c r="J596" s="52"/>
      <c r="K596" s="54"/>
      <c r="L596" s="309"/>
      <c r="M596" s="309"/>
      <c r="N596" s="309"/>
      <c r="O596" s="54"/>
    </row>
    <row r="597" spans="4:15" x14ac:dyDescent="0.3">
      <c r="D597" s="15"/>
      <c r="E597" s="15"/>
      <c r="F597" s="37"/>
      <c r="G597" s="52"/>
      <c r="H597" s="12"/>
      <c r="I597" s="12"/>
      <c r="J597" s="52"/>
      <c r="K597" s="54"/>
      <c r="L597" s="309"/>
      <c r="M597" s="309"/>
      <c r="N597" s="309"/>
      <c r="O597" s="54"/>
    </row>
    <row r="598" spans="4:15" x14ac:dyDescent="0.3">
      <c r="D598" s="15"/>
      <c r="E598" s="15"/>
      <c r="F598" s="37"/>
      <c r="G598" s="52"/>
      <c r="H598" s="12"/>
      <c r="I598" s="12"/>
      <c r="J598" s="52"/>
      <c r="K598" s="54"/>
      <c r="L598" s="309"/>
      <c r="M598" s="309"/>
      <c r="N598" s="309"/>
      <c r="O598" s="54"/>
    </row>
    <row r="599" spans="4:15" x14ac:dyDescent="0.3">
      <c r="D599" s="15"/>
      <c r="E599" s="15"/>
      <c r="F599" s="37"/>
      <c r="G599" s="52"/>
      <c r="H599" s="12"/>
      <c r="I599" s="12"/>
      <c r="J599" s="52"/>
      <c r="K599" s="54"/>
      <c r="L599" s="309"/>
      <c r="M599" s="309"/>
      <c r="N599" s="309"/>
      <c r="O599" s="54"/>
    </row>
    <row r="600" spans="4:15" x14ac:dyDescent="0.3">
      <c r="D600" s="15"/>
      <c r="E600" s="15"/>
      <c r="F600" s="37"/>
      <c r="G600" s="52"/>
      <c r="H600" s="12"/>
      <c r="I600" s="12"/>
      <c r="J600" s="52"/>
      <c r="K600" s="54"/>
      <c r="L600" s="309"/>
      <c r="M600" s="309"/>
      <c r="N600" s="309"/>
      <c r="O600" s="54"/>
    </row>
    <row r="601" spans="4:15" x14ac:dyDescent="0.3">
      <c r="D601" s="15"/>
      <c r="E601" s="15"/>
      <c r="F601" s="37"/>
      <c r="G601" s="52"/>
      <c r="H601" s="12"/>
      <c r="I601" s="12"/>
      <c r="J601" s="52"/>
      <c r="K601" s="54"/>
      <c r="L601" s="309"/>
      <c r="M601" s="309"/>
      <c r="N601" s="309"/>
      <c r="O601" s="54"/>
    </row>
    <row r="602" spans="4:15" x14ac:dyDescent="0.3">
      <c r="D602" s="15"/>
      <c r="E602" s="15"/>
      <c r="F602" s="37"/>
      <c r="G602" s="52"/>
      <c r="H602" s="12"/>
      <c r="I602" s="12"/>
      <c r="J602" s="52"/>
      <c r="K602" s="54"/>
      <c r="L602" s="309"/>
      <c r="M602" s="309"/>
      <c r="N602" s="309"/>
      <c r="O602" s="54"/>
    </row>
    <row r="603" spans="4:15" x14ac:dyDescent="0.3">
      <c r="D603" s="15"/>
      <c r="E603" s="15"/>
      <c r="F603" s="37"/>
      <c r="G603" s="52"/>
      <c r="H603" s="12"/>
      <c r="I603" s="12"/>
      <c r="J603" s="52"/>
      <c r="K603" s="54"/>
      <c r="L603" s="309"/>
      <c r="M603" s="309"/>
      <c r="N603" s="309"/>
      <c r="O603" s="54"/>
    </row>
    <row r="604" spans="4:15" x14ac:dyDescent="0.3">
      <c r="D604" s="15"/>
      <c r="E604" s="15"/>
      <c r="F604" s="37"/>
      <c r="G604" s="52"/>
      <c r="H604" s="12"/>
      <c r="I604" s="12"/>
      <c r="J604" s="52"/>
      <c r="K604" s="54"/>
      <c r="L604" s="309"/>
      <c r="M604" s="309"/>
      <c r="N604" s="309"/>
      <c r="O604" s="54"/>
    </row>
    <row r="605" spans="4:15" x14ac:dyDescent="0.3">
      <c r="D605" s="15"/>
      <c r="E605" s="15"/>
      <c r="F605" s="37"/>
      <c r="G605" s="52"/>
      <c r="H605" s="12"/>
      <c r="I605" s="12"/>
      <c r="J605" s="52"/>
      <c r="K605" s="54"/>
      <c r="L605" s="309"/>
      <c r="M605" s="309"/>
      <c r="N605" s="309"/>
      <c r="O605" s="54"/>
    </row>
    <row r="606" spans="4:15" x14ac:dyDescent="0.3">
      <c r="D606" s="15"/>
      <c r="E606" s="15"/>
      <c r="F606" s="37"/>
      <c r="G606" s="52"/>
      <c r="H606" s="12"/>
      <c r="I606" s="12"/>
      <c r="J606" s="52"/>
      <c r="K606" s="54"/>
      <c r="L606" s="309"/>
      <c r="M606" s="309"/>
      <c r="N606" s="309"/>
      <c r="O606" s="54"/>
    </row>
    <row r="607" spans="4:15" x14ac:dyDescent="0.3">
      <c r="D607" s="15"/>
      <c r="E607" s="15"/>
      <c r="F607" s="37"/>
      <c r="G607" s="52"/>
      <c r="H607" s="12"/>
      <c r="I607" s="12"/>
      <c r="J607" s="52"/>
      <c r="K607" s="54"/>
      <c r="L607" s="309"/>
      <c r="M607" s="309"/>
      <c r="N607" s="309"/>
      <c r="O607" s="54"/>
    </row>
    <row r="608" spans="4:15" x14ac:dyDescent="0.3">
      <c r="D608" s="15"/>
      <c r="E608" s="15"/>
      <c r="F608" s="37"/>
      <c r="G608" s="52"/>
      <c r="H608" s="12"/>
      <c r="I608" s="12"/>
      <c r="J608" s="52"/>
      <c r="K608" s="54"/>
      <c r="L608" s="309"/>
      <c r="M608" s="309"/>
      <c r="N608" s="309"/>
      <c r="O608" s="54"/>
    </row>
    <row r="609" spans="4:15" x14ac:dyDescent="0.3">
      <c r="D609" s="15"/>
      <c r="E609" s="15"/>
      <c r="F609" s="37"/>
      <c r="G609" s="52"/>
      <c r="H609" s="12"/>
      <c r="I609" s="12"/>
      <c r="J609" s="52"/>
      <c r="K609" s="54"/>
      <c r="L609" s="309"/>
      <c r="M609" s="309"/>
      <c r="N609" s="309"/>
      <c r="O609" s="54"/>
    </row>
    <row r="610" spans="4:15" x14ac:dyDescent="0.3">
      <c r="D610" s="15"/>
      <c r="E610" s="15"/>
      <c r="F610" s="37"/>
      <c r="G610" s="52"/>
      <c r="H610" s="12"/>
      <c r="I610" s="12"/>
      <c r="J610" s="52"/>
      <c r="K610" s="54"/>
      <c r="L610" s="309"/>
      <c r="M610" s="309"/>
      <c r="N610" s="309"/>
      <c r="O610" s="54"/>
    </row>
    <row r="611" spans="4:15" x14ac:dyDescent="0.3">
      <c r="D611" s="15"/>
      <c r="E611" s="15"/>
      <c r="F611" s="37"/>
      <c r="G611" s="52"/>
      <c r="H611" s="12"/>
      <c r="I611" s="12"/>
      <c r="J611" s="52"/>
      <c r="K611" s="54"/>
      <c r="L611" s="309"/>
      <c r="M611" s="309"/>
      <c r="N611" s="309"/>
      <c r="O611" s="54"/>
    </row>
    <row r="612" spans="4:15" x14ac:dyDescent="0.3">
      <c r="D612" s="15"/>
      <c r="E612" s="15"/>
      <c r="F612" s="37"/>
      <c r="G612" s="52"/>
      <c r="H612" s="12"/>
      <c r="I612" s="12"/>
      <c r="J612" s="52"/>
      <c r="K612" s="54"/>
      <c r="L612" s="309"/>
      <c r="M612" s="309"/>
      <c r="N612" s="309"/>
      <c r="O612" s="54"/>
    </row>
    <row r="613" spans="4:15" x14ac:dyDescent="0.3">
      <c r="D613" s="15"/>
      <c r="E613" s="15"/>
      <c r="F613" s="37"/>
      <c r="G613" s="52"/>
      <c r="H613" s="12"/>
      <c r="I613" s="12"/>
      <c r="J613" s="52"/>
      <c r="K613" s="54"/>
      <c r="L613" s="309"/>
      <c r="M613" s="309"/>
      <c r="N613" s="309"/>
      <c r="O613" s="54"/>
    </row>
    <row r="614" spans="4:15" x14ac:dyDescent="0.3">
      <c r="D614" s="15"/>
      <c r="E614" s="15"/>
      <c r="F614" s="37"/>
      <c r="G614" s="52"/>
      <c r="H614" s="12"/>
      <c r="I614" s="12"/>
      <c r="J614" s="52"/>
      <c r="K614" s="54"/>
      <c r="L614" s="309"/>
      <c r="M614" s="309"/>
      <c r="N614" s="309"/>
      <c r="O614" s="54"/>
    </row>
    <row r="615" spans="4:15" x14ac:dyDescent="0.3">
      <c r="D615" s="15"/>
      <c r="E615" s="15"/>
      <c r="F615" s="37"/>
      <c r="G615" s="52"/>
      <c r="H615" s="12"/>
      <c r="I615" s="12"/>
      <c r="J615" s="52"/>
      <c r="K615" s="54"/>
      <c r="L615" s="309"/>
      <c r="M615" s="309"/>
      <c r="N615" s="309"/>
      <c r="O615" s="54"/>
    </row>
    <row r="616" spans="4:15" x14ac:dyDescent="0.3">
      <c r="D616" s="15"/>
      <c r="E616" s="15"/>
      <c r="F616" s="37"/>
      <c r="G616" s="52"/>
      <c r="H616" s="12"/>
      <c r="I616" s="12"/>
      <c r="J616" s="52"/>
      <c r="K616" s="54"/>
      <c r="L616" s="309"/>
      <c r="M616" s="309"/>
      <c r="N616" s="309"/>
      <c r="O616" s="54"/>
    </row>
    <row r="617" spans="4:15" x14ac:dyDescent="0.3">
      <c r="D617" s="15"/>
      <c r="E617" s="15"/>
      <c r="F617" s="37"/>
      <c r="G617" s="52"/>
      <c r="H617" s="12"/>
      <c r="I617" s="12"/>
      <c r="J617" s="52"/>
      <c r="K617" s="54"/>
      <c r="L617" s="309"/>
      <c r="M617" s="309"/>
      <c r="N617" s="309"/>
      <c r="O617" s="54"/>
    </row>
    <row r="618" spans="4:15" x14ac:dyDescent="0.3">
      <c r="D618" s="15"/>
      <c r="E618" s="15"/>
      <c r="F618" s="37"/>
      <c r="G618" s="52"/>
      <c r="H618" s="12"/>
      <c r="I618" s="12"/>
      <c r="J618" s="52"/>
      <c r="K618" s="54"/>
      <c r="L618" s="309"/>
      <c r="M618" s="309"/>
      <c r="N618" s="309"/>
      <c r="O618" s="54"/>
    </row>
    <row r="619" spans="4:15" x14ac:dyDescent="0.3">
      <c r="D619" s="15"/>
      <c r="E619" s="15"/>
      <c r="F619" s="37"/>
      <c r="G619" s="52"/>
      <c r="H619" s="12"/>
      <c r="I619" s="12"/>
      <c r="J619" s="52"/>
      <c r="K619" s="54"/>
      <c r="L619" s="309"/>
      <c r="M619" s="309"/>
      <c r="N619" s="309"/>
      <c r="O619" s="54"/>
    </row>
    <row r="620" spans="4:15" x14ac:dyDescent="0.3">
      <c r="D620" s="15"/>
      <c r="E620" s="15"/>
      <c r="F620" s="37"/>
      <c r="G620" s="52"/>
      <c r="H620" s="12"/>
      <c r="I620" s="12"/>
      <c r="J620" s="52"/>
      <c r="K620" s="54"/>
      <c r="L620" s="309"/>
      <c r="M620" s="309"/>
      <c r="N620" s="309"/>
      <c r="O620" s="54"/>
    </row>
    <row r="621" spans="4:15" x14ac:dyDescent="0.3">
      <c r="D621" s="15"/>
      <c r="E621" s="15"/>
      <c r="F621" s="37"/>
      <c r="G621" s="52"/>
      <c r="H621" s="12"/>
      <c r="I621" s="12"/>
      <c r="J621" s="52"/>
      <c r="K621" s="54"/>
      <c r="L621" s="309"/>
      <c r="M621" s="309"/>
      <c r="N621" s="309"/>
      <c r="O621" s="54"/>
    </row>
    <row r="622" spans="4:15" x14ac:dyDescent="0.3">
      <c r="D622" s="15"/>
      <c r="E622" s="15"/>
      <c r="F622" s="37"/>
      <c r="G622" s="52"/>
      <c r="H622" s="12"/>
      <c r="I622" s="12"/>
      <c r="J622" s="52"/>
      <c r="K622" s="54"/>
      <c r="L622" s="309"/>
      <c r="M622" s="309"/>
      <c r="N622" s="309"/>
      <c r="O622" s="54"/>
    </row>
    <row r="623" spans="4:15" x14ac:dyDescent="0.3">
      <c r="D623" s="15"/>
      <c r="E623" s="15"/>
      <c r="F623" s="37"/>
      <c r="G623" s="52"/>
      <c r="H623" s="12"/>
      <c r="I623" s="12"/>
      <c r="J623" s="52"/>
      <c r="K623" s="54"/>
      <c r="L623" s="309"/>
      <c r="M623" s="309"/>
      <c r="N623" s="309"/>
      <c r="O623" s="54"/>
    </row>
    <row r="624" spans="4:15" x14ac:dyDescent="0.3">
      <c r="D624" s="15"/>
      <c r="E624" s="15"/>
      <c r="F624" s="37"/>
      <c r="G624" s="52"/>
      <c r="H624" s="12"/>
      <c r="I624" s="12"/>
      <c r="J624" s="52"/>
      <c r="K624" s="54"/>
      <c r="L624" s="309"/>
      <c r="M624" s="309"/>
      <c r="N624" s="309"/>
      <c r="O624" s="54"/>
    </row>
    <row r="625" spans="4:15" x14ac:dyDescent="0.3">
      <c r="D625" s="15"/>
      <c r="E625" s="15"/>
      <c r="F625" s="37"/>
      <c r="G625" s="52"/>
      <c r="H625" s="12"/>
      <c r="I625" s="12"/>
      <c r="J625" s="52"/>
      <c r="K625" s="54"/>
      <c r="L625" s="309"/>
      <c r="M625" s="309"/>
      <c r="N625" s="309"/>
      <c r="O625" s="54"/>
    </row>
    <row r="626" spans="4:15" x14ac:dyDescent="0.3">
      <c r="D626" s="15"/>
      <c r="E626" s="15"/>
      <c r="F626" s="37"/>
      <c r="G626" s="52"/>
      <c r="H626" s="12"/>
      <c r="I626" s="12"/>
      <c r="J626" s="52"/>
      <c r="K626" s="54"/>
      <c r="L626" s="309"/>
      <c r="M626" s="309"/>
      <c r="N626" s="309"/>
      <c r="O626" s="54"/>
    </row>
    <row r="627" spans="4:15" x14ac:dyDescent="0.3">
      <c r="D627" s="15"/>
      <c r="E627" s="15"/>
      <c r="F627" s="37"/>
      <c r="G627" s="52"/>
      <c r="H627" s="12"/>
      <c r="I627" s="12"/>
      <c r="J627" s="52"/>
      <c r="K627" s="54"/>
      <c r="L627" s="309"/>
      <c r="M627" s="309"/>
      <c r="N627" s="309"/>
      <c r="O627" s="54"/>
    </row>
    <row r="628" spans="4:15" x14ac:dyDescent="0.3">
      <c r="D628" s="15"/>
      <c r="E628" s="15"/>
      <c r="F628" s="37"/>
      <c r="G628" s="52"/>
      <c r="H628" s="12"/>
      <c r="I628" s="12"/>
      <c r="J628" s="52"/>
      <c r="K628" s="54"/>
      <c r="L628" s="309"/>
      <c r="M628" s="309"/>
      <c r="N628" s="309"/>
      <c r="O628" s="54"/>
    </row>
    <row r="629" spans="4:15" x14ac:dyDescent="0.3">
      <c r="D629" s="15"/>
      <c r="E629" s="15"/>
      <c r="F629" s="37"/>
      <c r="G629" s="52"/>
      <c r="H629" s="12"/>
      <c r="I629" s="12"/>
      <c r="J629" s="52"/>
      <c r="K629" s="54"/>
      <c r="L629" s="309"/>
      <c r="M629" s="309"/>
      <c r="N629" s="309"/>
      <c r="O629" s="54"/>
    </row>
  </sheetData>
  <mergeCells count="39">
    <mergeCell ref="B200:B210"/>
    <mergeCell ref="B101:B102"/>
    <mergeCell ref="A39:A41"/>
    <mergeCell ref="A32:A38"/>
    <mergeCell ref="B32:B38"/>
    <mergeCell ref="B39:B41"/>
    <mergeCell ref="B43:B44"/>
    <mergeCell ref="B158:B159"/>
    <mergeCell ref="B162:B163"/>
    <mergeCell ref="B213:B215"/>
    <mergeCell ref="B11:B12"/>
    <mergeCell ref="B15:B16"/>
    <mergeCell ref="B23:B24"/>
    <mergeCell ref="B19:B21"/>
    <mergeCell ref="B47:B48"/>
    <mergeCell ref="B85:B88"/>
    <mergeCell ref="B91:B97"/>
    <mergeCell ref="B55:B57"/>
    <mergeCell ref="B58:B60"/>
    <mergeCell ref="B65:B68"/>
    <mergeCell ref="B180:B181"/>
    <mergeCell ref="B182:B183"/>
    <mergeCell ref="B186:B187"/>
    <mergeCell ref="B189:B190"/>
    <mergeCell ref="B192:B194"/>
    <mergeCell ref="B196:B197"/>
    <mergeCell ref="B51:B52"/>
    <mergeCell ref="B82:B83"/>
    <mergeCell ref="B79:B81"/>
    <mergeCell ref="B98:B99"/>
    <mergeCell ref="B173:B174"/>
    <mergeCell ref="B165:B168"/>
    <mergeCell ref="B126:B127"/>
    <mergeCell ref="B129:B138"/>
    <mergeCell ref="B139:B150"/>
    <mergeCell ref="B152:B153"/>
    <mergeCell ref="B109:B111"/>
    <mergeCell ref="B113:B116"/>
    <mergeCell ref="B118:B120"/>
  </mergeCells>
  <phoneticPr fontId="1" type="noConversion"/>
  <conditionalFormatting sqref="G1:G221 G223:G1048576">
    <cfRule type="colorScale" priority="485">
      <colorScale>
        <cfvo type="min"/>
        <cfvo type="percentile" val="50"/>
        <cfvo type="max"/>
        <color rgb="FFF8696B"/>
        <color rgb="FFFFEB84"/>
        <color rgb="FF63BE7B"/>
      </colorScale>
    </cfRule>
  </conditionalFormatting>
  <conditionalFormatting sqref="G10:G215">
    <cfRule type="dataBar" priority="506">
      <dataBar>
        <cfvo type="min"/>
        <cfvo type="max"/>
        <color rgb="FFFFB628"/>
      </dataBar>
      <extLst>
        <ext xmlns:x14="http://schemas.microsoft.com/office/spreadsheetml/2009/9/main" uri="{B025F937-C7B1-47D3-B67F-A62EFF666E3E}">
          <x14:id>{BB4D7371-2FE5-4EFF-8DCC-91DFEB52FBB9}</x14:id>
        </ext>
      </extLst>
    </cfRule>
  </conditionalFormatting>
  <pageMargins left="0.7" right="0.7" top="0.75" bottom="0.75" header="0.3" footer="0.3"/>
  <pageSetup paperSize="17" scale="50" fitToHeight="0" orientation="landscape" r:id="rId1"/>
  <headerFooter>
    <oddHeader>&amp;C&amp;"Montserrat,Bold"&amp;14TransNet Ordinance Crosswalk</oddHeader>
    <oddFooter>&amp;C&amp;P</oddFooter>
  </headerFooter>
  <colBreaks count="1" manualBreakCount="1">
    <brk id="6" max="628" man="1"/>
  </colBreaks>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B4D7371-2FE5-4EFF-8DCC-91DFEB52FBB9}">
            <x14:dataBar minLength="0" maxLength="100" border="1" negativeBarBorderColorSameAsPositive="0">
              <x14:cfvo type="autoMin"/>
              <x14:cfvo type="autoMax"/>
              <x14:borderColor rgb="FFFFB628"/>
              <x14:negativeFillColor rgb="FFFF0000"/>
              <x14:negativeBorderColor rgb="FFFF0000"/>
              <x14:axisColor rgb="FF000000"/>
            </x14:dataBar>
          </x14:cfRule>
          <xm:sqref>G10:G215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716F06822D89419C98D734F101EC0C" ma:contentTypeVersion="28" ma:contentTypeDescription="Create a new document." ma:contentTypeScope="" ma:versionID="945e1f4af06175ec06fcf689dafca72d">
  <xsd:schema xmlns:xsd="http://www.w3.org/2001/XMLSchema" xmlns:xs="http://www.w3.org/2001/XMLSchema" xmlns:p="http://schemas.microsoft.com/office/2006/metadata/properties" xmlns:ns1="http://schemas.microsoft.com/sharepoint/v3" xmlns:ns2="2deb448c-e562-422b-8914-b98e37f5a226" xmlns:ns3="4304fb5a-0775-4047-b978-9f1f3c707440" targetNamespace="http://schemas.microsoft.com/office/2006/metadata/properties" ma:root="true" ma:fieldsID="c380f5d5e044f1cac7f8d02700b907d0" ns1:_="" ns2:_="" ns3:_="">
    <xsd:import namespace="http://schemas.microsoft.com/sharepoint/v3"/>
    <xsd:import namespace="2deb448c-e562-422b-8914-b98e37f5a226"/>
    <xsd:import namespace="4304fb5a-0775-4047-b978-9f1f3c70744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kd391e9a5f3b4913abacc25bc9a9a8a0" minOccurs="0"/>
                <xsd:element ref="ns3:TaxCatchAll" minOccurs="0"/>
                <xsd:element ref="ns2:lcf76f155ced4ddcb4097134ff3c332f" minOccurs="0"/>
                <xsd:element ref="ns2:MediaServiceObjectDetectorVersions" minOccurs="0"/>
                <xsd:element ref="ns2:Comment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b448c-e562-422b-8914-b98e37f5a2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kd391e9a5f3b4913abacc25bc9a9a8a0" ma:index="23" nillable="true" ma:taxonomy="true" ma:internalName="kd391e9a5f3b4913abacc25bc9a9a8a0" ma:taxonomyFieldName="Tags" ma:displayName="Tags" ma:readOnly="false" ma:default="" ma:fieldId="{4d391e9a-5f3b-4913-abac-c25bc9a9a8a0}" ma:taxonomyMulti="true" ma:sspId="cdd0a8f6-c2df-45ea-93d6-61234a1c0ff7" ma:termSetId="ceca6b60-fa9e-437e-9428-bce9e0d6df97" ma:anchorId="00000000-0000-0000-0000-000000000000" ma:open="true" ma:isKeyword="false">
      <xsd:complexType>
        <xsd:sequence>
          <xsd:element ref="pc:Terms" minOccurs="0" maxOccurs="1"/>
        </xsd:sequence>
      </xsd:complex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d0a8f6-c2df-45ea-93d6-61234a1c0ff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Comments" ma:index="28" nillable="true" ma:displayName="Comments" ma:description="Status Comments" ma:format="Dropdown" ma:internalName="Comments">
      <xsd:simpleType>
        <xsd:restriction base="dms:Note"/>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04fb5a-0775-4047-b978-9f1f3c70744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a12732f-dc5a-40e8-9f4a-7ccb4150995c}" ma:internalName="TaxCatchAll" ma:showField="CatchAllData" ma:web="4304fb5a-0775-4047-b978-9f1f3c7074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304fb5a-0775-4047-b978-9f1f3c707440" xsi:nil="true"/>
    <_ip_UnifiedCompliancePolicyProperties xmlns="http://schemas.microsoft.com/sharepoint/v3" xsi:nil="true"/>
    <kd391e9a5f3b4913abacc25bc9a9a8a0 xmlns="2deb448c-e562-422b-8914-b98e37f5a226">
      <Terms xmlns="http://schemas.microsoft.com/office/infopath/2007/PartnerControls"/>
    </kd391e9a5f3b4913abacc25bc9a9a8a0>
    <lcf76f155ced4ddcb4097134ff3c332f xmlns="2deb448c-e562-422b-8914-b98e37f5a226">
      <Terms xmlns="http://schemas.microsoft.com/office/infopath/2007/PartnerControls"/>
    </lcf76f155ced4ddcb4097134ff3c332f>
    <Comments xmlns="2deb448c-e562-422b-8914-b98e37f5a226" xsi:nil="true"/>
    <SharedWithUsers xmlns="4304fb5a-0775-4047-b978-9f1f3c707440">
      <UserInfo>
        <DisplayName/>
        <AccountId xsi:nil="true"/>
        <AccountType/>
      </UserInfo>
    </SharedWithUsers>
  </documentManagement>
</p:properties>
</file>

<file path=customXml/itemProps1.xml><?xml version="1.0" encoding="utf-8"?>
<ds:datastoreItem xmlns:ds="http://schemas.openxmlformats.org/officeDocument/2006/customXml" ds:itemID="{AD5B4D65-1175-4BB2-97DE-6C7EFD8458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deb448c-e562-422b-8914-b98e37f5a226"/>
    <ds:schemaRef ds:uri="4304fb5a-0775-4047-b978-9f1f3c7074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94B324-E3E9-4255-9DFB-27B008546743}">
  <ds:schemaRefs>
    <ds:schemaRef ds:uri="http://schemas.microsoft.com/sharepoint/v3/contenttype/forms"/>
  </ds:schemaRefs>
</ds:datastoreItem>
</file>

<file path=customXml/itemProps3.xml><?xml version="1.0" encoding="utf-8"?>
<ds:datastoreItem xmlns:ds="http://schemas.openxmlformats.org/officeDocument/2006/customXml" ds:itemID="{06A2FD98-B97D-440A-A24C-CA5FF475DA31}">
  <ds:schemaRefs>
    <ds:schemaRef ds:uri="http://schemas.microsoft.com/sharepoint/v3"/>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www.w3.org/XML/1998/namespace"/>
    <ds:schemaRef ds:uri="4304fb5a-0775-4047-b978-9f1f3c707440"/>
    <ds:schemaRef ds:uri="http://purl.org/dc/dcmitype/"/>
    <ds:schemaRef ds:uri="http://purl.org/dc/terms/"/>
    <ds:schemaRef ds:uri="2deb448c-e562-422b-8914-b98e37f5a22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Crosswalk_June 2024</vt:lpstr>
      <vt:lpstr>'Crosswalk_June 2024'!Print_Area</vt:lpstr>
      <vt:lpstr>'Crosswalk_June 2024'!Print_Titles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Sajid</dc:creator>
  <cp:keywords/>
  <dc:description/>
  <cp:lastModifiedBy>Chelsea Gonzales</cp:lastModifiedBy>
  <cp:revision/>
  <cp:lastPrinted>2024-06-04T17:29:02Z</cp:lastPrinted>
  <dcterms:created xsi:type="dcterms:W3CDTF">2022-07-08T12:54:29Z</dcterms:created>
  <dcterms:modified xsi:type="dcterms:W3CDTF">2024-06-20T17:55:09Z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0x0101006F716F06822D89419C98D734F101EC0C</vt:lpwstr>
  </property>
  <property fmtid="{D5CDD505-2E9C-101B-9397-08002B2CF9AE}" pid="3" name="MediaServiceImageTags">
    <vt:lpwstr/>
  </property>
  <property fmtid="{D5CDD505-2E9C-101B-9397-08002B2CF9AE}" pid="4" name="Tags">
    <vt:lpwstr/>
  </property>
</Properties>
</file>